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7"/>
  </bookViews>
  <sheets>
    <sheet name="附件1" sheetId="34" r:id="rId1"/>
    <sheet name="附件2新兴" sheetId="33" r:id="rId2"/>
    <sheet name="附件3屯城" sheetId="25" r:id="rId3"/>
    <sheet name="附件4西昌" sheetId="21" r:id="rId4"/>
    <sheet name="附件5坡心" sheetId="23" r:id="rId5"/>
    <sheet name="附件6南坤" sheetId="20" r:id="rId6"/>
    <sheet name="附件7南吕" sheetId="19" r:id="rId7"/>
    <sheet name="附件8枫木" sheetId="24" r:id="rId8"/>
    <sheet name="附件9乌坡" sheetId="22" r:id="rId9"/>
    <sheet name="附件10县政府投资项目管理中心" sheetId="26" r:id="rId10"/>
    <sheet name="附件11民族" sheetId="27" r:id="rId11"/>
    <sheet name="附件12水务" sheetId="28" r:id="rId12"/>
    <sheet name="附件13.农业农村局" sheetId="35" r:id="rId13"/>
  </sheets>
  <definedNames>
    <definedName name="_xlnm._FilterDatabase" localSheetId="6" hidden="1">附件7南吕!$A$1:$E$40</definedName>
    <definedName name="_xlnm._FilterDatabase" localSheetId="11" hidden="1">附件12水务!$A$1:$E$12</definedName>
    <definedName name="_xlnm._FilterDatabase" localSheetId="10" hidden="1">附件11民族!$A$1:$XEC$22</definedName>
    <definedName name="_xlnm._FilterDatabase" localSheetId="3" hidden="1">附件4西昌!$A$1:$E$18</definedName>
    <definedName name="_xlnm._FilterDatabase" localSheetId="5" hidden="1">附件6南坤!$A$1:$WYL$48</definedName>
    <definedName name="_xlnm._FilterDatabase" localSheetId="8" hidden="1">附件9乌坡!$A$1:$E$42</definedName>
    <definedName name="_xlnm._FilterDatabase" localSheetId="1" hidden="1">附件2新兴!$A$1:$E$32</definedName>
    <definedName name="_xlnm._FilterDatabase" localSheetId="7" hidden="1">附件8枫木!$A$1:$E$32</definedName>
    <definedName name="_xlnm._FilterDatabase" localSheetId="2" hidden="1">附件3屯城!$A$1:$E$44</definedName>
    <definedName name="_xlnm._FilterDatabase" localSheetId="4" hidden="1">附件5坡心!$A$1:$E$29</definedName>
    <definedName name="_xlnm.Print_Titles" localSheetId="0">附件1!$3:$6</definedName>
    <definedName name="_xlnm.Print_Titles" localSheetId="1">附件2新兴!$4:$6</definedName>
    <definedName name="_xlnm.Print_Titles" localSheetId="2">附件3屯城!$4:$6</definedName>
    <definedName name="_xlnm.Print_Titles" localSheetId="3">附件4西昌!$4:$6</definedName>
    <definedName name="_xlnm.Print_Titles" localSheetId="4">附件5坡心!$4:$6</definedName>
    <definedName name="_xlnm.Print_Area" localSheetId="5">附件6南坤!$A$1:$M$48</definedName>
    <definedName name="_xlnm.Print_Titles" localSheetId="5">附件6南坤!$4:$5</definedName>
    <definedName name="_xlnm.Print_Titles" localSheetId="6">附件7南吕!$4:$5</definedName>
    <definedName name="_xlnm.Print_Titles" localSheetId="7">附件8枫木!$4:$5</definedName>
    <definedName name="_xlnm.Print_Titles" localSheetId="8">附件9乌坡!$4:$5</definedName>
    <definedName name="_xlnm.Print_Area" localSheetId="9">附件10县政府投资项目管理中心!$A$1:$M$12</definedName>
    <definedName name="_xlnm.Print_Area" localSheetId="10">附件11民族!$A$1:$M$22</definedName>
    <definedName name="_xlnm.Print_Titles" localSheetId="10">附件11民族!$4:$5</definedName>
    <definedName name="_xlnm.Print_Titles" localSheetId="11">附件12水务!$4:$5</definedName>
  </definedNames>
  <calcPr calcId="144525"/>
</workbook>
</file>

<file path=xl/sharedStrings.xml><?xml version="1.0" encoding="utf-8"?>
<sst xmlns="http://schemas.openxmlformats.org/spreadsheetml/2006/main" count="1741" uniqueCount="635">
  <si>
    <t>屯昌县2024年财政衔接推进乡村振兴补助资金项目安排表</t>
  </si>
  <si>
    <t>序号</t>
  </si>
  <si>
    <t>资金投向</t>
  </si>
  <si>
    <t>资金需求计划（万元）</t>
  </si>
  <si>
    <t>项目资金安排数（万元）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</si>
  <si>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</si>
  <si>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</si>
  <si>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</si>
  <si>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</si>
  <si>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</si>
  <si>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</si>
  <si>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</si>
  <si>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</si>
  <si>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</si>
  <si>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</si>
  <si>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合计</t>
  </si>
  <si>
    <t>-</t>
  </si>
  <si>
    <t>一</t>
  </si>
  <si>
    <t>农村产业发展类项目</t>
  </si>
  <si>
    <t>到村产业项目</t>
  </si>
  <si>
    <t>21个村集体经济项目</t>
  </si>
  <si>
    <t>按项目预算及资金需求</t>
  </si>
  <si>
    <t>琼财农[2023]1262号4977.294605万元,琼财农〔2024〕260号247.77万元</t>
  </si>
  <si>
    <t>琼财农[2023]1484号3414.992075万元，琼财农[2022]1035号21.32万元，琼财农〔2024〕411 号80.595486万元</t>
  </si>
  <si>
    <t>2023年预算大本22.58万元，2024年预算大本413.074984万元</t>
  </si>
  <si>
    <t>各镇政府</t>
  </si>
  <si>
    <t>附件2-9</t>
  </si>
  <si>
    <t>到户产业项目</t>
  </si>
  <si>
    <t>8产业发展补助、8自主发展产业经营奖励</t>
  </si>
  <si>
    <t>按相关政策标准执行</t>
  </si>
  <si>
    <t>琼财农[2023]1262号688.994054万元，琼财农〔2024〕260号15.092338万元</t>
  </si>
  <si>
    <t>琼财农[2022]1035号23.208955万元，琼财农[2023]1484号9.761633万元</t>
  </si>
  <si>
    <t>二</t>
  </si>
  <si>
    <t>农村基础设施类项目</t>
  </si>
  <si>
    <t>续建基础设施项目</t>
  </si>
  <si>
    <t>8个镇、4个行业部门131个续建基础设施项目</t>
  </si>
  <si>
    <t>项目审核价及已拨付资金</t>
  </si>
  <si>
    <t>琼财农〔2024〕260号</t>
  </si>
  <si>
    <t>琼财农[2023]1484号1042.403416万元，琼财农[2022]1035号205.500118万元，琼财农[2023]476号16.185126万元</t>
  </si>
  <si>
    <t>2023年预算大本167.476528万元，2024年预算大本406.964453万元</t>
  </si>
  <si>
    <t>各镇政府、县民族事务局、县水务局、县政府投资项目管理中心、农业农村局</t>
  </si>
  <si>
    <t>附件2-13</t>
  </si>
  <si>
    <t>2024年各镇基础设施建设项目</t>
  </si>
  <si>
    <t>2024年34个基础设施项目</t>
  </si>
  <si>
    <t>项目预算及结算</t>
  </si>
  <si>
    <t>琼财农[2023]1262号1846.236341万元，琼财农〔2024〕260号375.248816万元</t>
  </si>
  <si>
    <t>琼财农[2023]1484号1449.842876万元，琼财农[2022]1035号7.7865万元，琼财农〔2024〕411 号385.404514万元</t>
  </si>
  <si>
    <t>2024年预算大本275.127347万元，2023年预算大本62.759388万元</t>
  </si>
  <si>
    <t>2024年少数民族村基础设施建设项目</t>
  </si>
  <si>
    <t>6个基础设施项目</t>
  </si>
  <si>
    <t>琼财农[2023]1262号103万元，琼财农〔2024〕260号10万元</t>
  </si>
  <si>
    <t>琼财农[2023]1484号73万元，琼财农〔2024〕411 号14万元</t>
  </si>
  <si>
    <t>县民族事务局</t>
  </si>
  <si>
    <t>附件11</t>
  </si>
  <si>
    <t>项目前期工作经费</t>
  </si>
  <si>
    <t>8个镇、4个行业部门项目前期工作经费</t>
  </si>
  <si>
    <t>2024年预算大本633.305706万元，2023年预算大本15.316708万元</t>
  </si>
  <si>
    <t>各镇政府、县政府投资项目管理中心、县民族事务局、县水务局、县农业农村局</t>
  </si>
  <si>
    <t>三</t>
  </si>
  <si>
    <t>“三保障”类项目</t>
  </si>
  <si>
    <t>“雨露计划”补助</t>
  </si>
  <si>
    <t>发放缴建档立卡脱贫户及监测对象2024年中职教育学生雨露计划资助金</t>
  </si>
  <si>
    <t>3500元/年/人</t>
  </si>
  <si>
    <t>琼财农[2023]1262号</t>
  </si>
  <si>
    <t>县农业农村局</t>
  </si>
  <si>
    <t>含往年补发</t>
  </si>
  <si>
    <t>致富带头人培训项目</t>
  </si>
  <si>
    <t>开展人致富带头人培训</t>
  </si>
  <si>
    <t>410元/人</t>
  </si>
  <si>
    <t>消费帮扶项目</t>
  </si>
  <si>
    <t>开展消费帮扶</t>
  </si>
  <si>
    <t>琼财农[2023]1262号4.0725万元,琼财农〔2024〕260号0.9641万元</t>
  </si>
  <si>
    <t>县供销社</t>
  </si>
  <si>
    <t>附件2</t>
  </si>
  <si>
    <t>屯昌县新兴镇2024年财政衔接推进乡村振兴补助资金项目安排表</t>
  </si>
  <si>
    <t>单位：万元</t>
  </si>
  <si>
    <t>项目所在地</t>
  </si>
  <si>
    <t>项目名称</t>
  </si>
  <si>
    <t>项目资金（估算、合同价、结算审核价）</t>
  </si>
  <si>
    <t>2024年安排资金</t>
  </si>
  <si>
    <t>小  计</t>
  </si>
  <si>
    <t>合 计</t>
  </si>
  <si>
    <t>2024年到村产业项目资金安排</t>
  </si>
  <si>
    <t>受益村：新雄、下园各150万</t>
  </si>
  <si>
    <t>新兴镇沉香加工项目</t>
  </si>
  <si>
    <t>沉香加工</t>
  </si>
  <si>
    <t>受益村：新兴居、土锡、南岐、新北、洁坡各100万</t>
  </si>
  <si>
    <t>金竹园特色农产品集散中心建设改造项目</t>
  </si>
  <si>
    <t>产业配套设施</t>
  </si>
  <si>
    <t>琼财农[2023]1484号</t>
  </si>
  <si>
    <t>受益村：兴诗、蕴沃、百家各50万元，博文100万元、下屯250万元</t>
  </si>
  <si>
    <t>旋风虎研学培训基地项目</t>
  </si>
  <si>
    <t>农林观光及培训基地</t>
  </si>
  <si>
    <t>洁坡村委会</t>
  </si>
  <si>
    <t>洁坡村委会油茶产业配套生产路</t>
  </si>
  <si>
    <t>洁坡黑猪养殖小区无菌运输通道项目</t>
  </si>
  <si>
    <t>园区内建设无菌运输通道</t>
  </si>
  <si>
    <t>琼财农[2022]1035号</t>
  </si>
  <si>
    <t>2024年到户产业项目</t>
  </si>
  <si>
    <t>新兴镇</t>
  </si>
  <si>
    <t>产业发展补助</t>
  </si>
  <si>
    <t>橡胶种植、养牛、养猪、化肥等</t>
  </si>
  <si>
    <t>自主发展产业经营奖励</t>
  </si>
  <si>
    <t>发放生产经营性纯收入超4000元奖补</t>
  </si>
  <si>
    <t>琼财农[2023]1262号82.507662万元，琼财农〔2024〕260号13.092338万元</t>
  </si>
  <si>
    <t>2024年基础设施项目资金安排</t>
  </si>
  <si>
    <t>沙田村委会</t>
  </si>
  <si>
    <t>2024年沙田村委会基础设施建设项目</t>
  </si>
  <si>
    <t>道路硬化2600米</t>
  </si>
  <si>
    <t>百家村委会</t>
  </si>
  <si>
    <t>2024年百家村委会基础设施建设项目</t>
  </si>
  <si>
    <t>路巷硬化3000米、新建排水沟2500米</t>
  </si>
  <si>
    <t>琼财农[2023]1484号3.81599万元，琼财农〔2024〕411 号10.586005万元</t>
  </si>
  <si>
    <t>2024年预算大本</t>
  </si>
  <si>
    <t>土锡村委会</t>
  </si>
  <si>
    <t>2024年土锡村委会基础设施建设项目</t>
  </si>
  <si>
    <t>路巷硬化1800米、新建排水沟800米</t>
  </si>
  <si>
    <t>琼财农〔2024〕411 号</t>
  </si>
  <si>
    <t>博文村委会</t>
  </si>
  <si>
    <t>2024年博文村委会基础设施建设项目</t>
  </si>
  <si>
    <t>路巷硬化2000米、道路硬化2500米</t>
  </si>
  <si>
    <t>兴诗村委会</t>
  </si>
  <si>
    <t>2024年兴诗村委会基础设施建设项目</t>
  </si>
  <si>
    <t>道路硬化1500米、新建排水沟200米、新建挡土墙700米</t>
  </si>
  <si>
    <t>续建基础设施项目资金安排</t>
  </si>
  <si>
    <t>2023年洁坡村委会道路硬化项目</t>
  </si>
  <si>
    <t>700米</t>
  </si>
  <si>
    <t>2023年洁坡村委会挡土墙项目</t>
  </si>
  <si>
    <t>200米</t>
  </si>
  <si>
    <t>下屯村委会</t>
  </si>
  <si>
    <t>2023年下屯村委会道路硬化项目</t>
  </si>
  <si>
    <t>500米</t>
  </si>
  <si>
    <t>新北村委会</t>
  </si>
  <si>
    <t>2023年新北村委会道路硬化项目</t>
  </si>
  <si>
    <t>2000米</t>
  </si>
  <si>
    <t>2023年博文村委会道路硬化项目</t>
  </si>
  <si>
    <t>2023年博文村委会路巷硬化项目</t>
  </si>
  <si>
    <t>4000米</t>
  </si>
  <si>
    <t>2023年土锡村委会路巷硬化项目</t>
  </si>
  <si>
    <t>2750米</t>
  </si>
  <si>
    <t>2023年土锡村委会排水沟项目</t>
  </si>
  <si>
    <t>1160米</t>
  </si>
  <si>
    <t>附件3</t>
  </si>
  <si>
    <t>屯昌县屯城镇2024年财政衔接推进乡村振兴补助资金项目安排表</t>
  </si>
  <si>
    <t>小 计</t>
  </si>
  <si>
    <t>受益村：三发村委会、大同村委会、大陆坡村委会、龙水村委会、海军村委会、文旦村委会、水口村委会、加宝村委会、大石村委会、大东村委会、屯新村委会、平坡村委会、光明村委会、岳寨村委会各85万元，大长坡村委会60万元，新昌村委会、大洞村委会、海新村委会、屯昌村委会、良史村委会各50万元</t>
  </si>
  <si>
    <t>屯昌县黑猪养殖示范基地一期项目</t>
  </si>
  <si>
    <t>建设综合产品体验区、产业配套设施、高标准粪污及无害化处理区、综合洗消中转区及辅助生产区等</t>
  </si>
  <si>
    <t>受益村：海军、海新、屯昌、大洞、大同、岳寨、平坡、大长坡、大陆坡、三发、大石、新昌、屯新、大东、良史、加宝、光明、龙水各38万元，水口47万元，文旦46万元</t>
  </si>
  <si>
    <t>屯城镇乡村旅游项目（二期）</t>
  </si>
  <si>
    <t>农旅乡村旅游项目配套设施</t>
  </si>
  <si>
    <t>屯城镇</t>
  </si>
  <si>
    <t>琼琼财农[2022]1035号</t>
  </si>
  <si>
    <t>文旦村委会</t>
  </si>
  <si>
    <t>文旦村委会基础设施建设工程</t>
  </si>
  <si>
    <t>挡土墙、排水、道路拓宽、道路硬化等</t>
  </si>
  <si>
    <t>海军村委会</t>
  </si>
  <si>
    <t>海军村委会基础设施建设工程</t>
  </si>
  <si>
    <t>长800米，宽0.5米，深0.6米</t>
  </si>
  <si>
    <t>2023年预算大本</t>
  </si>
  <si>
    <t>新昌村委会</t>
  </si>
  <si>
    <t>新昌村委会基础设施建设工程</t>
  </si>
  <si>
    <t>道路拓宽1500米</t>
  </si>
  <si>
    <t>大洞村委会</t>
  </si>
  <si>
    <t>大洞村委会基础设施提升工程（环村路、村巷、挡土墙、排水沟）</t>
  </si>
  <si>
    <t>400米挡土墙，约4000米巷道；300米环村路；排水沟等</t>
  </si>
  <si>
    <t>大长坡村委会</t>
  </si>
  <si>
    <t>大长坡村委会道路硬化、道路拓宽、挡土墙工程</t>
  </si>
  <si>
    <t>60m挡土墙，1100m道路硬化，1500m道路拓宽</t>
  </si>
  <si>
    <t>三发村委会</t>
  </si>
  <si>
    <t>三发村委会村巷道路硬化项目建设</t>
  </si>
  <si>
    <t>1150米村巷硬化，100米村巷内排水沟，40米*4米环村路建设</t>
  </si>
  <si>
    <t>水口村委会</t>
  </si>
  <si>
    <t>水口村委会村内道路建设</t>
  </si>
  <si>
    <t>长1270米，宽3.5米，厚0.2米</t>
  </si>
  <si>
    <t>新昌村委会环村路建设（加良园、昌头、水金坡）</t>
  </si>
  <si>
    <t>长670米，宽3.5米，厚0.2米</t>
  </si>
  <si>
    <t>大同村委会</t>
  </si>
  <si>
    <t>大同村委会圣村入村委会道路硬化、排水沟建设</t>
  </si>
  <si>
    <t>道路长150米，宽3.5米；排水沟100米。</t>
  </si>
  <si>
    <t>良史村委会</t>
  </si>
  <si>
    <t>良史村委会挡土墙、村巷建设工程</t>
  </si>
  <si>
    <t>50米挡土墙，村巷长100米、宽1.7米</t>
  </si>
  <si>
    <t>海军村委会永发自然村环村路修建护栏和挡土墙工程</t>
  </si>
  <si>
    <t>挡土墙250米，护栏180米，排水沟170米</t>
  </si>
  <si>
    <t>屯新村委会</t>
  </si>
  <si>
    <t>屯新村委会雨水岭大道深田村入村路</t>
  </si>
  <si>
    <t>屯新村委会雨水岭大道深田村入村路硬化总182.211m，路面宽度为3.5m;涵洞建设1座</t>
  </si>
  <si>
    <t>屯新村委会新安新村入村路</t>
  </si>
  <si>
    <t>屯新村委会新安新村入村路硬化总长40.04m，路面宽度为6m。</t>
  </si>
  <si>
    <t>屯昌村委会</t>
  </si>
  <si>
    <t>屯昌村委会长袋村道路硬化工程</t>
  </si>
  <si>
    <t>屯昌村委会长袋村道路硬化总长155.025m，路面宽度为4m。</t>
  </si>
  <si>
    <t>屯昌村委会加丁村村内道路硬化工程</t>
  </si>
  <si>
    <t>屯昌村委会加丁村村内道路硬化总长 112.803m，路面宽度为3.5m。</t>
  </si>
  <si>
    <t>屯城镇新昌村委会试场村道路硬化工程</t>
  </si>
  <si>
    <t>新昌村委会试场村道路硬化总长230.284m，路面宽度均为3.5m;涵洞建设1座。</t>
  </si>
  <si>
    <t>光明村委会</t>
  </si>
  <si>
    <t>屯城镇光明村委会坡朗村道路改造工程</t>
  </si>
  <si>
    <t>光明村委会坡朗村道路硬化总长599.568m，路面宽度为3.5m;挡土墙建设长度70m;涵洞建设2座。</t>
  </si>
  <si>
    <t>屯城镇大长坡村委会沙湾埇村道路改造工程</t>
  </si>
  <si>
    <t>大长坡村委会沙湾埇村道路拓宽总长239.069m，现状路面宽3m，拓宽后为5m;建设挡土墙长50m;停车场改造325m²。</t>
  </si>
  <si>
    <t>屯城镇大长坡村委会大长坡村道路改造工程</t>
  </si>
  <si>
    <t>大长坡村委会大长坡村道路拓宽总长878.318m，现状路面宽2.5~4m，拓宽后为4.5~5.5m</t>
  </si>
  <si>
    <t>水口村委会水口村环村路、挡土墙硬化工程</t>
  </si>
  <si>
    <t>水口村委会:水口村委会水口村环村路硬化总长143.735m，路面宽度为3.5m;挡土墙建设长 133m;涵洞建设2座</t>
  </si>
  <si>
    <t>屯城镇大同村委会圣村道路硬化工程</t>
  </si>
  <si>
    <t>大同村委会圣村道路硬化总长450.262m，路面宽度均为3.5m。</t>
  </si>
  <si>
    <t>屯城镇大长坡村委会大长坡村挡土墙建设工程</t>
  </si>
  <si>
    <t>建设挡土墙长 377m;停车场改造304m²;涵洞建设2座</t>
  </si>
  <si>
    <t>文旦村委会文旦村公路旁边挡土墙</t>
  </si>
  <si>
    <t>文旦村委会文旦村公路旁建设挡土墙长198m。</t>
  </si>
  <si>
    <t>屯城镇大长坡村委会旧市村道路改造工程</t>
  </si>
  <si>
    <t>大长坡村委会旧市村道路拓宽总长1305.111m，现状路面宽度为3m，拓宽后为5m</t>
  </si>
  <si>
    <t>文旦村委会西都埇村环村路旁排水沟硬化工程</t>
  </si>
  <si>
    <t>文旦村委会西都埇村环村路排水沟改造总长497m。</t>
  </si>
  <si>
    <t>屯城镇新昌村委会金水坡村道路硬化工程</t>
  </si>
  <si>
    <t>新昌村委会金水坡村道路硬化总长330.514m，路面宽度均为3.5m。</t>
  </si>
  <si>
    <t>屯城镇光明村委会猪昂岭村道路改造工程</t>
  </si>
  <si>
    <t>屯城镇光明村委会猪昂岭村道路硬化总长276.84m，路面宽度为3.5m;挡土墙建设长度18m。</t>
  </si>
  <si>
    <t xml:space="preserve">屯城镇 </t>
  </si>
  <si>
    <t>附件4</t>
  </si>
  <si>
    <t>屯昌县西昌镇2024年财政衔接推进乡村振兴补助资金项目调整安排</t>
  </si>
  <si>
    <t>仁教村委会</t>
  </si>
  <si>
    <t>南熙咖啡休闲农庄民宿项目</t>
  </si>
  <si>
    <t>农庄民宿及周边配套设施</t>
  </si>
  <si>
    <t>琼财农[2023]1484号656.992075万元，琼财农[2024]411 号50.595486万元</t>
  </si>
  <si>
    <t>西昌镇</t>
  </si>
  <si>
    <t>西昌镇土龙村委会村集体经济黑猪养殖小区（2020）基础配套设施建设项目</t>
  </si>
  <si>
    <t>升级改造黑猪养殖小区设施</t>
  </si>
  <si>
    <t>购买槟榔化肥、橡胶化肥227包</t>
  </si>
  <si>
    <t>为221户1112人发放自主发展产业经营奖励</t>
  </si>
  <si>
    <t>琼琼财农[2022]1035号2.177367万元，琼财农[2023]1484号1.322633</t>
  </si>
  <si>
    <t>屯昌县西昌镇仁教村委会南熙村基础提升项目</t>
  </si>
  <si>
    <t>1、道路3条共1140m；2、矮墙460m；3、PC砖620m²； 4、浆砌石挡土墙1091m；5、片石砼挡墙400m；6、盖板排水沟86m；7、路缘石1500m；8、人行道1440m²；9、安全护栏1250m；10、波型护栏402m</t>
  </si>
  <si>
    <t>琼财农[2024]411 号</t>
  </si>
  <si>
    <t>屯昌县西昌镇仁教村委会大坡村整村推进项目</t>
  </si>
  <si>
    <t>含道路工程，巷道铺装及巷道排水管铺设、硬化地板、过路涵管、盖板暗沟、挡土墙工程</t>
  </si>
  <si>
    <t>附件5</t>
  </si>
  <si>
    <t>屯昌县坡心镇2024年财政衔接推进乡村振兴补助资金项目安排表</t>
  </si>
  <si>
    <t>受益村：高朗村507万、白石村200万</t>
  </si>
  <si>
    <t>屯昌县雪茄烟叶种植及初加工项目</t>
  </si>
  <si>
    <t>育苗棚建设、种植区遮阴网建设、搭建晾房9栋及产业配套设备</t>
  </si>
  <si>
    <t>琼财农[2023]1262号700万元，琼财农〔2024〕260号 7万元</t>
  </si>
  <si>
    <t>坡心镇</t>
  </si>
  <si>
    <t>高朗村委会</t>
  </si>
  <si>
    <t>高朗村委会石桥村道路加宽硬化项目</t>
  </si>
  <si>
    <t>道路拓宽250米、人行道硬化850米、排水沟建设100米、挡土墙50米等</t>
  </si>
  <si>
    <t>高朗村委会高朗上村基础设施提升项目</t>
  </si>
  <si>
    <t>修建水塘挡水墙（内、外、含栏杆）400米、道路硬化400米、水塘环境提升等。</t>
  </si>
  <si>
    <t>高朗村委会高朗下村基础设施提升项目</t>
  </si>
  <si>
    <t>挡土墙340米，矮墙130米，人行道铺装130米</t>
  </si>
  <si>
    <t>坡心镇高朗村大石桥村生产道路硬化工程</t>
  </si>
  <si>
    <t>生产道路：长1600米*宽3.5米，园区道路：长638米*宽3.5米</t>
  </si>
  <si>
    <t>琼财农〔2024〕411 号51.936434万元，琼财农[2023]1484号10.44247万元</t>
  </si>
  <si>
    <t>关朗村委会</t>
  </si>
  <si>
    <t>坡心镇农村生活污水治理工程</t>
  </si>
  <si>
    <t>拟建设污水处理站1座，dn300园区污水管道500m。建成后污水排放达到城镇一级A类标准，污水处理规模为100m3/d，污水处理工艺采用“A2/O+MBBR+深度处理”工艺</t>
  </si>
  <si>
    <t>坡心镇2023年基础设施项目</t>
  </si>
  <si>
    <t>村庄道路硬化417.7米、入户路硬化2261米；新建排水沟1551米；新建挡土墙991米、圆涵洞1座；村庄道路硬化总长为1407.5米、挡土墙总长为241米、盖板涵1座</t>
  </si>
  <si>
    <t>琼财农[2023]1484号137.452521万元，琼财农[2022]1035号101.79万元</t>
  </si>
  <si>
    <t>加买村委会</t>
  </si>
  <si>
    <t>加买村排水沟工程</t>
  </si>
  <si>
    <t>40cmx40cm盖板水沟-240m,30cmx30cm盖板水沟-107m,更换盖板-210m</t>
  </si>
  <si>
    <t>加买村环村路路面加宽工程</t>
  </si>
  <si>
    <t>环村路两侧各拓宽1米-7522m2，厚18cm</t>
  </si>
  <si>
    <t>加买村巷道硬化改造工程</t>
  </si>
  <si>
    <t>加买村3.4.5.6.7经济社2750m2路巷损坏需要改造</t>
  </si>
  <si>
    <t>高坡村委会</t>
  </si>
  <si>
    <t>高坡村委会高坡村挡水墙工程</t>
  </si>
  <si>
    <t>挡水墙190m（高1.5m）</t>
  </si>
  <si>
    <t>高坡村委会田曲坡村挡土墙工程</t>
  </si>
  <si>
    <t>挡水墙长50米（高1.5m），挡土墙长716米（高1m）</t>
  </si>
  <si>
    <t>高坡村委会马鞍岭村、新会村道路重建及排水沟工程</t>
  </si>
  <si>
    <t>道路重建313m2及40cmx40cm排水沟100m</t>
  </si>
  <si>
    <t>高坡村委会高坡村道路加宽及新建道路工程</t>
  </si>
  <si>
    <t>道路加宽750m,两边各1m，厚18cm；新建道路205m，宽3m，厚18cm</t>
  </si>
  <si>
    <t>高坡村委会田曲坡村道路加宽及道路拆除重建工程</t>
  </si>
  <si>
    <t>道路加宽1210m,单边加宽1m，厚18cm；地块硬化812m2，厚18cm,道路拆除重建200m，宽3m，厚18cm</t>
  </si>
  <si>
    <t>2024年预算大本50.999948万元，2023年预算大本12.9468</t>
  </si>
  <si>
    <t>附件6</t>
  </si>
  <si>
    <t>屯昌县南坤镇2024年财政衔接推进乡村振兴补助资金项目安排表</t>
  </si>
  <si>
    <t>合    计</t>
  </si>
  <si>
    <t>受益村：南坤社区、太安各70万元，新风、石雷、石岭、岭坡各90万元</t>
  </si>
  <si>
    <t>受益村：加总81万元，南老、山塘各115万元，松坡70万元、藤寨19万元。</t>
  </si>
  <si>
    <t>南坤镇蜜柚标准化种植基地和农业科技示范园区项目</t>
  </si>
  <si>
    <t>建设230亩三红蜜柚标准化种植示范园项目</t>
  </si>
  <si>
    <t>少数民族资金：琼财农[2023]1262号200万元</t>
  </si>
  <si>
    <t>少数民族资金：琼财农[2023]1484号111万元</t>
  </si>
  <si>
    <t>受益村：坡林119.448万元、新村110万元，藤寨76万元、曙光85万元</t>
  </si>
  <si>
    <t>南坤镇归旅热带稻田野奢帐篷酒店项目</t>
  </si>
  <si>
    <t>帐篷酒店、中西餐厅、乡村图书馆、乡村画室和稻田主题系列体验区等。</t>
  </si>
  <si>
    <t>琼财农[2023]1262号9.448万元，琼财农〔2024〕260号201.77万元</t>
  </si>
  <si>
    <t>南坤镇</t>
  </si>
  <si>
    <t>石坡村委会</t>
  </si>
  <si>
    <t>2024年石坡村委会基础设施提升工程</t>
  </si>
  <si>
    <t>建设道路长1500米、宽3米、厚0.19米</t>
  </si>
  <si>
    <t>琼财农[2023]1262号17万元</t>
  </si>
  <si>
    <t>2024年预算大本39.901225万元，2023年预算大本18.88335万元</t>
  </si>
  <si>
    <t>新村村委会</t>
  </si>
  <si>
    <t>2024年新村村委会基础设施提升工程</t>
  </si>
  <si>
    <t>建设道路长500米、宽3米、厚0.18米，场地硬化、挡土墙建设等</t>
  </si>
  <si>
    <t>琼财农[2023]1262号42万元，琼财农〔2024〕260号13.544312万元</t>
  </si>
  <si>
    <t>琼财农[2022]1035号6.86万元，琼财农[2023]1484号2.6623万元</t>
  </si>
  <si>
    <t>2024年加握、牛白、来潮、中间架等村基础设施提升工程</t>
  </si>
  <si>
    <t>建设挡土墙100米，建设道路长510米</t>
  </si>
  <si>
    <t>琼财农[2023]1262号73.2万元，琼财农〔2024〕260号21.190605</t>
  </si>
  <si>
    <t>松坡村委会</t>
  </si>
  <si>
    <t>2024年松坡村委会基础设施提升工程</t>
  </si>
  <si>
    <t>村巷硬化850平方米，排水沟2000米</t>
  </si>
  <si>
    <t>琼财农[2023]1262号45万元，琼财农〔2024〕260号14.325962万元</t>
  </si>
  <si>
    <t>2024年预算大本6.445382万元，2023年预算大本1.506473万元</t>
  </si>
  <si>
    <t>坡林村委会</t>
  </si>
  <si>
    <t>2024年坡林村委会基础设施提升工程</t>
  </si>
  <si>
    <t>新风村委会</t>
  </si>
  <si>
    <t>2023年新风村委会基础设施提升工程</t>
  </si>
  <si>
    <t>新建道路长399米、挡土墙97米、加宽长270米、排水沟320</t>
  </si>
  <si>
    <t>长圮村委会</t>
  </si>
  <si>
    <t>2023年长圮村委会基础设施提升工程</t>
  </si>
  <si>
    <t>入村路加宽818米、道路改建130米、新建道路长70.5米</t>
  </si>
  <si>
    <t>吕狗村委会</t>
  </si>
  <si>
    <t>2023年吕狗村委会基础设施提升工程</t>
  </si>
  <si>
    <t>新建道路长175米、挡土墙长265米、硬化685平方、建设排水沟96米等</t>
  </si>
  <si>
    <t>2023年坡林村委会基础设施提升工程</t>
  </si>
  <si>
    <t>新建挡土墙430米、硬化3830平方、排水沟185米等</t>
  </si>
  <si>
    <t>榕仔村委会</t>
  </si>
  <si>
    <t>2023年榕仔村委会基础设施提升工程</t>
  </si>
  <si>
    <t>新建硬化1321米、挡土墙长68米、硬化411平方米、道路加宽136米、排水沟148米</t>
  </si>
  <si>
    <t>周朝村委会</t>
  </si>
  <si>
    <t>2023年周朝村委会基础设施提升工程</t>
  </si>
  <si>
    <t>硬化2820平方，挡土墙113米，道路331米、建设排水沟296等</t>
  </si>
  <si>
    <t>太安村委会</t>
  </si>
  <si>
    <t>太安村委会公鹤营村挡土墙工程</t>
  </si>
  <si>
    <t>挡土墙长122米</t>
  </si>
  <si>
    <t>岭坡村委会</t>
  </si>
  <si>
    <t>岭坡村委会后头边村环村路硬化工程</t>
  </si>
  <si>
    <t>硬化道路长153米，挡土墙18米，防护栏18米</t>
  </si>
  <si>
    <t>新村村委会水曲下村环村路硬化工程</t>
  </si>
  <si>
    <t>硬化道路长308米</t>
  </si>
  <si>
    <t>2023年石坡村委会基础设施提升工程</t>
  </si>
  <si>
    <t>新建道路长387米、挡土墙长197米、硬化2121平方等</t>
  </si>
  <si>
    <t>2022年周朝村委会千秋场村入村路硬化工程</t>
  </si>
  <si>
    <t>新建道路长334米、宽3.5米，挡土墙178米、高1.5米</t>
  </si>
  <si>
    <t>2022年周朝村委会内村道路硬化及挡土墙工程</t>
  </si>
  <si>
    <t>新建道路32米、挡土墙324米、排水沟75米</t>
  </si>
  <si>
    <t>2022年周朝村委会内村村巷硬化工程</t>
  </si>
  <si>
    <t>1、硬化村巷864平方米；2、道路硬化520平方米。</t>
  </si>
  <si>
    <t>2022年周朝村委会千秋场村巷硬化工程</t>
  </si>
  <si>
    <t>1、硬化村巷1384平方米；2、排水管463米</t>
  </si>
  <si>
    <t>2022年榕仔村委会乌盖村挡土墙工程</t>
  </si>
  <si>
    <t>挡土墙80米。</t>
  </si>
  <si>
    <t>2022年榕仔村委会四组环村路硬化及挡土墙工程</t>
  </si>
  <si>
    <t>新建道路长60米；挡土墙115米。</t>
  </si>
  <si>
    <t>2022年榕仔村委会榕仔村村巷硬化工程</t>
  </si>
  <si>
    <t>1、83米加宽路；2、硬化村巷1073平方米</t>
  </si>
  <si>
    <t>2022年榕仔村委会新塘村9队挡土墙工程</t>
  </si>
  <si>
    <t>挡土墙100米。</t>
  </si>
  <si>
    <t>2022年榕仔村委会红花埇村道路硬化工程</t>
  </si>
  <si>
    <t>新建道路308米，挡土墙33米。</t>
  </si>
  <si>
    <t>2022年榕仔村委会红花埇村村巷硬化工程</t>
  </si>
  <si>
    <t>1、硬化村巷323平方米；2、排水沟397米</t>
  </si>
  <si>
    <t>2022年榕仔村委会美鹤园村基础设施工程</t>
  </si>
  <si>
    <t>硬化1125平方米；挡土墙51米。</t>
  </si>
  <si>
    <t>古寨村委会</t>
  </si>
  <si>
    <t>2022年古寨村委会三排坡村排水沟工程</t>
  </si>
  <si>
    <t>排水沟135米。</t>
  </si>
  <si>
    <t>2022年古寨村委会长比村村巷硬化工程</t>
  </si>
  <si>
    <t>1、硬化村巷1756平方米；2、排水管583米</t>
  </si>
  <si>
    <t>2022年坡林村委会入村路工程</t>
  </si>
  <si>
    <t>新建道路硬化847米。</t>
  </si>
  <si>
    <t>2022年坡林村委会坡林村挡土墙工程</t>
  </si>
  <si>
    <t>挡土墙593米。</t>
  </si>
  <si>
    <t>2022年坡林村委会坡林村基础设施工程</t>
  </si>
  <si>
    <t>村巷硬化1563平方米</t>
  </si>
  <si>
    <t>附件7</t>
  </si>
  <si>
    <t>屯昌县南吕镇2024年财政衔接推进乡村振兴补助资金项目安排表</t>
  </si>
  <si>
    <t xml:space="preserve">                                                                                                                                             单位：万元</t>
  </si>
  <si>
    <t>受益村：五星、佳塘、落根、龙楼、郭石各100万元，三岭、南吕社区、里佳、田寮、大路、大罗、东岭、咸陆、鹿寨、大城各50万元</t>
  </si>
  <si>
    <t>南吕镇蛋鸡标准化养殖场项目（二期）</t>
  </si>
  <si>
    <t>蛋鸡养殖</t>
  </si>
  <si>
    <t>南吕镇</t>
  </si>
  <si>
    <t>琼财农[2023]1484号8.439万元，琼琼财农[2022]1035号1.9万元</t>
  </si>
  <si>
    <t>南吕镇佳塘村委会</t>
  </si>
  <si>
    <t>屯昌县南吕镇佳塘村委会2024年衔接资金基础设施建设项目</t>
  </si>
  <si>
    <t>建设道路硬化、排水沟</t>
  </si>
  <si>
    <t>南吕镇咸陆村委会</t>
  </si>
  <si>
    <t>屯昌县南吕镇咸陆村委会下寮村至落根村道路硬化工程</t>
  </si>
  <si>
    <t>道路硬化1000米</t>
  </si>
  <si>
    <t>屯昌县南吕镇咸陆村委会下埇道路硬化工程</t>
  </si>
  <si>
    <t>琼财农[2023]1484号24.592849万元，琼财农〔2024〕411 号9.617913万元</t>
  </si>
  <si>
    <t>屯昌县南吕镇咸陆村委会大棚基地连接道路加宽工程</t>
  </si>
  <si>
    <t>加宽路面长2300米</t>
  </si>
  <si>
    <t>琼财农[2023]1484号57万元琼财农〔2024〕411 号24.765244万元</t>
  </si>
  <si>
    <t>屯昌县南吕镇咸陆村委会咸陆村至大坡村基础设施提升工程</t>
  </si>
  <si>
    <t>挡土墙400米，道理硬化300米</t>
  </si>
  <si>
    <t>琼财农[2023]1484号30.036465万元，琼财农〔2024〕411 号46.4万元</t>
  </si>
  <si>
    <t>南吕镇里佳村委会</t>
  </si>
  <si>
    <t>屯昌县南吕镇里佳村委会墟塘村至中村基础设施提升工程</t>
  </si>
  <si>
    <t>建设环村路、挡土墙等</t>
  </si>
  <si>
    <t>琼财农[2023]1484号27.419345万元，琼财农〔2024〕411 号4.167632万元</t>
  </si>
  <si>
    <t>南吕镇田寮村委会</t>
  </si>
  <si>
    <t>屯昌县南吕镇田寮村委会新村至圆岭村基础设施提升工程</t>
  </si>
  <si>
    <t>硬化道路长800米、挡土墙50米、围墙20米、公共场所铺砖400平方米</t>
  </si>
  <si>
    <t>屯昌县南吕镇佳塘村委会农机服务产业项目地面硬化工程</t>
  </si>
  <si>
    <t>1.地面硬化面积630平方米，铺设垫层加地面18公分；2.排水沟长200米，宽20公分，深40公分；3.机棚宽9米，高6米，铁皮216平方；4.道路硬化420平方</t>
  </si>
  <si>
    <t>佳塘村委会</t>
  </si>
  <si>
    <t>屯昌县南吕镇佳塘村委会入村路基础设施建设项目</t>
  </si>
  <si>
    <t>挡土墙共长1700米，护栏270米。</t>
  </si>
  <si>
    <t>屯昌县南吕镇佳塘村委会山田村道路硬化工程</t>
  </si>
  <si>
    <t>新建道路长2780米，宽3.5米。</t>
  </si>
  <si>
    <t>落根村委会</t>
  </si>
  <si>
    <t>屯昌县南吕镇落根村委会落根村入村路基础设施建设项目</t>
  </si>
  <si>
    <t>挡土墙共长800米，排水管30米。</t>
  </si>
  <si>
    <t>屯昌县南吕镇落根村委会落根村道路硬化工程</t>
  </si>
  <si>
    <t>新建道路长310米，宽3.5米。</t>
  </si>
  <si>
    <t>屯昌县南吕镇落根村委会乐处村至金山村路基础设施建设项目</t>
  </si>
  <si>
    <t>新建挡土墙长380米，加高挡土墙长130米。</t>
  </si>
  <si>
    <t>屯昌县南吕镇落根村委会金山村基础设施建设项目</t>
  </si>
  <si>
    <t>新建挡土墙共长160米，栏杆230米。</t>
  </si>
  <si>
    <t>咸陆村委会</t>
  </si>
  <si>
    <t>屯昌县南吕镇咸六村委会村道改建工程</t>
  </si>
  <si>
    <t>改建道路长2500米。</t>
  </si>
  <si>
    <t>长度700米，宽度3.5米，厚度18CM</t>
  </si>
  <si>
    <t>屯昌县南吕镇落根村委会落根下村至椰子头村道路硬化工程</t>
  </si>
  <si>
    <t>长度800米，宽度3.5米，厚度18CM</t>
  </si>
  <si>
    <t>屯昌县南吕镇落根村委会鸭母坡至山瑞下村道路硬化工程</t>
  </si>
  <si>
    <t>678.647米，路面宽度3.5米，厚度18厘米</t>
  </si>
  <si>
    <t>龙楼村委会</t>
  </si>
  <si>
    <t>屯昌县南吕镇龙楼村委会吊根榕村至昌仔坡村道路硬化工程</t>
  </si>
  <si>
    <t>长度1200米，宽度3.5米，厚度18CM</t>
  </si>
  <si>
    <t>大路村委会</t>
  </si>
  <si>
    <t>屯昌县南吕镇大路村委会大路坡村1队村巷硬化工程</t>
  </si>
  <si>
    <t>巷道18条，总长1206米；
0.2*0.2m巷道排沟19条,总长1235米</t>
  </si>
  <si>
    <t>屯昌县南吕镇大路村委会7队、9队道路硬化工程</t>
  </si>
  <si>
    <t>长740米，宽3米，厚18cm</t>
  </si>
  <si>
    <t>屯昌县南吕镇大路村委会路口坡村、加积坡村道路硬化工程</t>
  </si>
  <si>
    <t>长521米，宽3米，厚18cm</t>
  </si>
  <si>
    <t>佳塘村委会300万、大罗村委会120万、郭石村委会80万、鹿寨村委会50万</t>
  </si>
  <si>
    <t>屯昌县南吕镇2023年第一批次衔接资金基础设施项目</t>
  </si>
  <si>
    <t>建设村道、挡土墙、排水沟、村巷、生产道路等</t>
  </si>
  <si>
    <t>屯昌县南吕镇落根村委会2023年第一批次衔接资金基础设施项目</t>
  </si>
  <si>
    <t>郭石村委会</t>
  </si>
  <si>
    <t>屯昌县南吕镇郭石上村水塘治理项目</t>
  </si>
  <si>
    <t>水塘清淤、建设水渠等</t>
  </si>
  <si>
    <t>2024年预算大本69.813128万元，2023年预算大本0.92011万元</t>
  </si>
  <si>
    <t>附件8</t>
  </si>
  <si>
    <t>屯昌县枫木镇2024年财政衔接推进乡村振兴补助资金项目调整安排</t>
  </si>
  <si>
    <t>受益村：南挽村 47万元、岭仔村45万元</t>
  </si>
  <si>
    <t>岭仔村食品加工厂项目</t>
  </si>
  <si>
    <t>食品加工厂</t>
  </si>
  <si>
    <t>受益村：山头村 65万元、石岭坡村 75万元、罗案村 40万元、岭仔村 45万元、市坡村 40万元、南挽村 90万元、琼凯村 69万元、大葵村 85万元、双生岭村 36万元、枫木社区 55万元</t>
  </si>
  <si>
    <t>枫木镇黑猪食品加工厂项目</t>
  </si>
  <si>
    <t>黑猪食品加工厂及产业配套展厅</t>
  </si>
  <si>
    <t>琼财农[2023]1262号531万元，琼财农〔2024〕260号39万元（少数民族资金：34万元）</t>
  </si>
  <si>
    <t xml:space="preserve">少数民族资金：琼财农〔2024〕411 </t>
  </si>
  <si>
    <t>枫木镇</t>
  </si>
  <si>
    <t>枫木镇山头村委会村集体经济黑猪养殖小区基础配套设施建设项目</t>
  </si>
  <si>
    <t>石岭坡村养殖小区改造项目</t>
  </si>
  <si>
    <t>岭仔村养殖小区改造项目</t>
  </si>
  <si>
    <t>南挽村养殖小区改造项目</t>
  </si>
  <si>
    <t>岭仔村委会</t>
  </si>
  <si>
    <t>屯昌县枫木镇岭仔村委会2024年乡村振兴基础设施项目</t>
  </si>
  <si>
    <t>巷道修建2000米，路面宽度为1m-3m；巷道排水沟（40cmX40cm）长 400m，巷道排水沟（20cmX30cm）长 2000m，挡土墙长80m。</t>
  </si>
  <si>
    <t>大葵村委会</t>
  </si>
  <si>
    <t>屯昌县枫木镇大葵村委会2024年乡村振兴基础设施项目</t>
  </si>
  <si>
    <t>环村路375米，路面宽3.5米。</t>
  </si>
  <si>
    <t>琼财农〔2024〕260号17.29304万元，琼财农[2023]1262号8.25696</t>
  </si>
  <si>
    <t>石岭坡村委会</t>
  </si>
  <si>
    <t>屯昌县枫木镇石岭坡村委会2024年乡村振兴基础设施项目</t>
  </si>
  <si>
    <t>新建道路长3730米，新建挡土墙235米，新建排水沟550米。</t>
  </si>
  <si>
    <t>琼财农〔2024〕260号72.4万元，琼财农[2023]1262号43.98万元</t>
  </si>
  <si>
    <t>屯昌县枫木镇岭仔村委会2024年省级财政以工代赈项目</t>
  </si>
  <si>
    <t>新建道路总长度为1230.553m，共有3段路，路面宽度均为3.5m；排水沟总长度960m，挡土墙6段，总长度256m，高度1.5m-3.0m。</t>
  </si>
  <si>
    <t>以工代赈资金：琼财农[2023]1484号169万元，琼财农〔2024〕411 号48万元，琼财农[2022]1035号0.9265万元</t>
  </si>
  <si>
    <t>屯昌县枫木镇双生岭村委会2024年省级财政以工代赈项目</t>
  </si>
  <si>
    <t>新建道路总长度为880.084米，共有3段路，路面宽度均为3.5米；拓宽道路总长度为1429.873米，共有4段路；排水沟总长度237米；挡土墙13段，总长度399米，高度1.5米～5.0米等</t>
  </si>
  <si>
    <t>琼财农[2023]1484号省以工代赈资金</t>
  </si>
  <si>
    <t>罗案村委会</t>
  </si>
  <si>
    <t>足产村 5 队挡土墙项目</t>
  </si>
  <si>
    <t>挡土墙长165m，高度为 0.8m。</t>
  </si>
  <si>
    <t>冯宅村挡土墙项目</t>
  </si>
  <si>
    <t>①挡土墙长98m高度为1m-3.5m。</t>
  </si>
  <si>
    <t>加东岭道路硬化项目</t>
  </si>
  <si>
    <t>道路长度 178.498 米，路基宽度4m，路面宽度3m。</t>
  </si>
  <si>
    <t>岭背村基础措施建设项目</t>
  </si>
  <si>
    <t>道路长度254.58米，分成2段，A段长度197.891米，B段长度56.689米，路基宽度均为4m，路面宽度均为3m，水沟长度1416米。</t>
  </si>
  <si>
    <t>琼凯村委会</t>
  </si>
  <si>
    <t>琼凯村地面硬化</t>
  </si>
  <si>
    <t>地面硬化100平方米</t>
  </si>
  <si>
    <t>岭仔村1、5、10队排水沟项目</t>
  </si>
  <si>
    <t>排水沟500米</t>
  </si>
  <si>
    <t>岭仔村1、5、10队村巷改造项目</t>
  </si>
  <si>
    <t>巷道硬化400米</t>
  </si>
  <si>
    <t>附件9</t>
  </si>
  <si>
    <t>屯昌县乌坡镇2024年财政衔接推进乡村振兴补助资金项目安排表</t>
  </si>
  <si>
    <t>受益村：青梯、坡心、美华、村仔、乌坡社区、鸭塘各投入100万元，从良、南东、玖耐、岭头、白毛坡各投入70万元，乌石坡村投入50万元</t>
  </si>
  <si>
    <t>青梯、村仔、乌坡社区发展新型农村集体经济每村中央资金50万元，省级40万元，县级10万元</t>
  </si>
  <si>
    <t>乌坡镇</t>
  </si>
  <si>
    <t>琼财农[2023]1262号9.043562万元，琼财农〔2024〕260号2万元</t>
  </si>
  <si>
    <t>白毛坡村</t>
  </si>
  <si>
    <t>乌坡镇白毛坡村委会基础设施提升工程</t>
  </si>
  <si>
    <t>新建道路长约2400米，宽3.5米，厚0.2米；生产路1000米，村巷道硬化5000米，排污管5000米；挡土墙200米、高2.5米；铺设面包砖1700平方米。</t>
  </si>
  <si>
    <t>琼财农[2023]1262号10.489595万元，琼财农〔2024〕260号56.377638万元</t>
  </si>
  <si>
    <t>从良村</t>
  </si>
  <si>
    <t>乌坡镇从良村委会基础设施提升工程</t>
  </si>
  <si>
    <t>道路硬化约2100平方米，道路硬化3850米；新建排水沟400米，挡土墙1020米，路面拓宽3500米等。</t>
  </si>
  <si>
    <t>南东村</t>
  </si>
  <si>
    <t>乌坡镇南东村委会南东村提升工程</t>
  </si>
  <si>
    <t>村路村巷长800米，宽2.5米，厚0.2米；排污管30米；铺砖面积680平方米；档土墙长40米，高3米，宽0.6米.</t>
  </si>
  <si>
    <t>玖耐村</t>
  </si>
  <si>
    <t>乌坡镇玖耐村委会岭底下村提升工程</t>
  </si>
  <si>
    <t>环村路250米，宽3.5米，厚0.2米；村巷长1000米，宽2.5米，厚0.2米；排污管1000米；铺砖面积350平方米；档土墙长80米，高2.5米，宽0.8米；护栏长70米。</t>
  </si>
  <si>
    <t>岭头村</t>
  </si>
  <si>
    <t>乌坡镇岭头村委会岭头上村提升工程</t>
  </si>
  <si>
    <t>巷道2250平方米，厚0.2米；排污管1500米；档土墙120米</t>
  </si>
  <si>
    <t>乌坡镇白毛坡村委会白毛坡村提升工程</t>
  </si>
  <si>
    <t>村路村巷长800米，宽2.5米，厚0.2米；排污管200米；挡土墙长50米，高3米，宽0.6米.</t>
  </si>
  <si>
    <t>鸭塘村</t>
  </si>
  <si>
    <t>乌坡镇鸭塘村委会黄考坡村提升工程</t>
  </si>
  <si>
    <t>村道路硬化长350米，宽3米；长1000米，宽1.5米。挡土墙长200米，宽0.8米，高2.5米；长50米，宽0.8米，高1.2米。污水管网改造40米。</t>
  </si>
  <si>
    <t>乌石坡村</t>
  </si>
  <si>
    <t>乌坡镇乌石坡村委会外林村提升工程</t>
  </si>
  <si>
    <t>村路巷硬化和铺砖4000平方米，挡土墙均高1.3米，长400米，排污水管两种口径：0.4和0.2，共2300米长，护栏120米长，1.2米高</t>
  </si>
  <si>
    <t>乌坡镇乌石坡村委会内林提升工程</t>
  </si>
  <si>
    <t>村路巷硬化和铺砖3500平方米，挡土墙均高1.2米，长400米，排污水管两种口径：0.4和0.2，共2500米长，护栏100米长，1.2米高</t>
  </si>
  <si>
    <t>村仔村委会</t>
  </si>
  <si>
    <t>乌坡镇村仔村委会虞宅自然村提升工程</t>
  </si>
  <si>
    <t>护栏长150米；挡土墙长40米，高2米；新建铺砖380m2</t>
  </si>
  <si>
    <t>美华村委会</t>
  </si>
  <si>
    <t>乌坡镇美华村委会铁炉村硬化道路</t>
  </si>
  <si>
    <t>新建道路长135米、挡土墙50米</t>
  </si>
  <si>
    <t>乌坡镇美华村委会美华村挡土墙工程</t>
  </si>
  <si>
    <t>挡土墙长150米，高2米-2.5米</t>
  </si>
  <si>
    <t>坡心村委会</t>
  </si>
  <si>
    <t>乌坡镇坡心村委会乌石头村提升工程</t>
  </si>
  <si>
    <t>新建道路长700米，宽3米</t>
  </si>
  <si>
    <t>青梯村委会</t>
  </si>
  <si>
    <t>乌坡镇青梯村委会提升工程</t>
  </si>
  <si>
    <t>新建挡土墙300米高1米-1.5米</t>
  </si>
  <si>
    <t>乌坡镇青梯村委会四社道路硬化工程</t>
  </si>
  <si>
    <t>道路硬化长100米，宽3米，厚0.18米、挡土墙长50米</t>
  </si>
  <si>
    <t>乌坡镇青梯村委会改造工程</t>
  </si>
  <si>
    <t>道路硬化长150米，宽3米，厚0.18米、挡土墙长30米</t>
  </si>
  <si>
    <t>乌石坡村委会</t>
  </si>
  <si>
    <t>乌坡镇乌石坡村委会自然村14社村路硬化工程</t>
  </si>
  <si>
    <t>长300米，宽3米，厚0.18米</t>
  </si>
  <si>
    <t>乌坡镇乌石坡村委会17社入村路硬化工程</t>
  </si>
  <si>
    <t>长200米，宽3米，厚0.18米</t>
  </si>
  <si>
    <t>乌坡镇乌石坡村委会5社至10社村路硬化工程</t>
  </si>
  <si>
    <t>长461米，宽3米，厚0.18米</t>
  </si>
  <si>
    <t>乌坡镇乌石坡村委会7社提升工程</t>
  </si>
  <si>
    <t>挡土墙长30米，高1米、盖板排水沟40*40长约35米</t>
  </si>
  <si>
    <t>乌坡镇乌石坡村委会6社文明村提升工程</t>
  </si>
  <si>
    <t>挡土墙长35米，高1米、盖板排水沟40*40长约50米，巷道100平方米</t>
  </si>
  <si>
    <t>乌坡镇乌石坡村委会军坡场至满昌园入村路、外联村环村路硬化工程</t>
  </si>
  <si>
    <t>长600米</t>
  </si>
  <si>
    <t>白毛坡村委会</t>
  </si>
  <si>
    <t>乌坡镇白毛坡村委会坡村提升工程</t>
  </si>
  <si>
    <t>新建道路长500米，宽3.5米，厚度0.18米</t>
  </si>
  <si>
    <t>玖耐村委会</t>
  </si>
  <si>
    <t>乌坡镇玖耐村委会岭底上村环村路硬化</t>
  </si>
  <si>
    <t>长800米，宽3.5米，厚0.18米</t>
  </si>
  <si>
    <t>乌坡镇玖耐村委会岭底下村环村路硬化</t>
  </si>
  <si>
    <t>长100米，宽3.5米，厚0.18米</t>
  </si>
  <si>
    <t>南东村委会</t>
  </si>
  <si>
    <t>乌坡镇南东村委会10社自来水管网工程</t>
  </si>
  <si>
    <t>南东村委会10社自来水供水管网建设管道长度约700米</t>
  </si>
  <si>
    <t>挡土墙长100米，高2米；铺砖面积约400平方米、盖板排水沟20米</t>
  </si>
  <si>
    <t>2024年预算大本58.806122万元，2023年预算大本1.449798万元</t>
  </si>
  <si>
    <t>附件10</t>
  </si>
  <si>
    <t>屯昌县县政府投资项目管理中心2024年财政衔接推进乡村振兴补助资金项目安排表</t>
  </si>
  <si>
    <t>合  计</t>
  </si>
  <si>
    <t>屯昌县新兴镇博文村委会道路硬化工程</t>
  </si>
  <si>
    <t>硬化道路长2公里，宽3.5米</t>
  </si>
  <si>
    <t>琼财农[2023]476号0.782454万元，琼财农[2022]1035号3.73879万元</t>
  </si>
  <si>
    <t>大罗村委会</t>
  </si>
  <si>
    <t>屯昌县南吕镇大罗村委会道路硬化工程</t>
  </si>
  <si>
    <t>硬化道路长1公里，
宽3.5米</t>
  </si>
  <si>
    <t>琼财农[2023]476号15.402672万元</t>
  </si>
  <si>
    <t>屯昌县屯城镇良史村委会北面道路硬化工程</t>
  </si>
  <si>
    <t>硬化道路长1.5公里，宽3.5米</t>
  </si>
  <si>
    <t>屯昌县</t>
  </si>
  <si>
    <t>屯昌县民族局2024年财政衔接推进乡村振兴补助资金项目安排表</t>
  </si>
  <si>
    <t>2024年少数民族基础设施项目</t>
  </si>
  <si>
    <t>坡心镇茶沟村环村路硬化工程</t>
  </si>
  <si>
    <t>道路总长度为286.327米。路基宽度均为4米，路面宽度均为3米。挡土墙75米。</t>
  </si>
  <si>
    <t>琼财农[2023]1262号少数民族资金</t>
  </si>
  <si>
    <t>琼财农〔2024〕411 号少数民族资金</t>
  </si>
  <si>
    <t>山塘村委会新安新村村前路硬化工程</t>
  </si>
  <si>
    <t>道路长度为630.584米，路基宽度为4米，路面宽度为3米。挡土墙26米。</t>
  </si>
  <si>
    <t>琼财农〔2024〕260号少数民族资金</t>
  </si>
  <si>
    <t>琼财农[2023]1484号45万元少数民族资金</t>
  </si>
  <si>
    <t>山塘村委会新兴村新点路硬化工程（二期）</t>
  </si>
  <si>
    <t>道路长度为500米，路基宽度为4米，路面宽度为3米。</t>
  </si>
  <si>
    <t>南坤镇木寨村道路硬化工程</t>
  </si>
  <si>
    <t>道路长度为172.107米，路基宽度为4米，路面宽度为3米。</t>
  </si>
  <si>
    <t>少数民族资金:琼财农[2023]1484号4万元,琼财农〔2024〕411 号4万元</t>
  </si>
  <si>
    <t>乌石坡村委会芽石铺村村前路硬化工程</t>
  </si>
  <si>
    <t>硬化道路长250米，宽2.5米。</t>
  </si>
  <si>
    <t>琼财农[2023]1484号省少数民族资金</t>
  </si>
  <si>
    <t>坡心村委会三家村入村路硬化及挡土墙工程</t>
  </si>
  <si>
    <t>硬化道路长34米，宽2.5米。挡土墙总长度共129米。</t>
  </si>
  <si>
    <t>山塘村委会</t>
  </si>
  <si>
    <t>山塘村委会吊榕生产路硬化工程</t>
  </si>
  <si>
    <t>长700米，宽3米。</t>
  </si>
  <si>
    <t>坡心镇中建居白银坡居民小组</t>
  </si>
  <si>
    <t>白银坡居民小组铁炉村排水沟硬化工程</t>
  </si>
  <si>
    <t>排水沟长561.925米，硬化道路长64.32米。</t>
  </si>
  <si>
    <t>中坤居</t>
  </si>
  <si>
    <t>中坤居牛栏山小组养猪连入户路硬化工程</t>
  </si>
  <si>
    <t>长90+69米，宽3米</t>
  </si>
  <si>
    <t>中坤居东风小组14队道路硬化工程</t>
  </si>
  <si>
    <t>长295米，宽3米。</t>
  </si>
  <si>
    <t>中坤居东风小组42队道路硬化工程</t>
  </si>
  <si>
    <t>长115米，宽3.5米。</t>
  </si>
  <si>
    <t>山塘村委会新兴村新点路硬化工程</t>
  </si>
  <si>
    <t>长600米，宽3米</t>
  </si>
  <si>
    <t>附件12</t>
  </si>
  <si>
    <t>屯昌县水务局2024年财政衔接推进乡村振兴补助资金项目安排表</t>
  </si>
  <si>
    <t>屯昌县乌坡镇美华村委会供水管网延伸工程</t>
  </si>
  <si>
    <t>配水干管工程、配水支管工程、村内管道、入户工程、附属工程的安装</t>
  </si>
  <si>
    <t>屯昌县南吕镇郭石下村供水管网延伸工程</t>
  </si>
  <si>
    <t>dn90 PE管,长260m,dn63 PE管,总长453m,dn50 PE管,长949m;dn40 PE管,长906m;dn32 PE管,长430m;郭石下村共98户，入户管道为dn25 PVC-U管，平均长度为20m/户，总长度为1960m。</t>
  </si>
  <si>
    <t>屯昌县大颜桥段供水管网埋设工程项目</t>
  </si>
  <si>
    <t>重新对该段管网进行埋设，拟建管道材质为HDPE管，管径350mm，长度为128.5m，管道埋设1.2m。</t>
  </si>
  <si>
    <t>附件13</t>
  </si>
  <si>
    <t>屯昌县农业农村局2024年财政衔接推进乡村振兴补助资金项目安排表</t>
  </si>
  <si>
    <t>枫木镇南吕居</t>
  </si>
  <si>
    <t>屯昌县南吕十三队金椰子基地生产配套项目</t>
  </si>
  <si>
    <t>道路长度约3198米，宽3米</t>
  </si>
  <si>
    <t>琼财农[2023]1484号80.0985万元，琼财农[2022]1035号79.602999万元</t>
  </si>
  <si>
    <t>乌坡基地、坡心基地、洪涛坡基地、新兴洁坡基地</t>
  </si>
  <si>
    <t>4个基地（乌坡基地、坡心基地、洪涛坡基地、新兴洁坡基地）</t>
  </si>
  <si>
    <t>金椰子产业扶贫一期基地配套基础设施建设项目</t>
  </si>
  <si>
    <t>乌坡联营农场金椰子基地生产便道工程项目质保金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</si>
</sst>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.00_ "/>
    <numFmt numFmtId="178" formatCode="0.000_ "/>
    <numFmt numFmtId="179" formatCode="0.0000_ "/>
    <numFmt numFmtId="180" formatCode="0.000000_ "/>
    <numFmt numFmtId="181" formatCode="#,##0.000000"/>
    <numFmt numFmtId="182" formatCode="#,##0.0000"/>
    <numFmt numFmtId="183" formatCode="0.0_ "/>
    <numFmt numFmtId="184" formatCode="0.00000_ "/>
    <numFmt numFmtId="185" formatCode="0_ "/>
  </numFmts>
  <fonts count="55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  <scheme val="minor"/>
    </font>
    <font>
      <b/>
      <sz val="22"/>
      <name val="黑体"/>
      <charset val="134"/>
    </font>
    <font>
      <sz val="22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  <scheme val="minor"/>
    </font>
    <font>
      <b/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4" fillId="14" borderId="1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7" borderId="18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22" borderId="16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3" fillId="33" borderId="1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31" fontId="13" fillId="0" borderId="0" xfId="0" applyNumberFormat="1" applyFont="1" applyFill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1" fontId="24" fillId="2" borderId="1" xfId="0" applyNumberFormat="1" applyFont="1" applyFill="1" applyBorder="1" applyAlignment="1">
      <alignment horizontal="center" vertical="center"/>
    </xf>
    <xf numFmtId="182" fontId="24" fillId="2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81" fontId="24" fillId="2" borderId="7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82" fontId="24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" fontId="24" fillId="0" borderId="8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2" fontId="2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176" fontId="24" fillId="2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Alignment="1">
      <alignment horizontal="center" vertical="center" wrapText="1"/>
    </xf>
    <xf numFmtId="181" fontId="24" fillId="2" borderId="8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181" fontId="24" fillId="2" borderId="8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textRotation="255" wrapText="1"/>
    </xf>
    <xf numFmtId="180" fontId="1" fillId="0" borderId="0" xfId="0" applyNumberFormat="1" applyFont="1" applyFill="1" applyBorder="1" applyAlignment="1">
      <alignment horizontal="left" vertical="center" wrapText="1"/>
    </xf>
    <xf numFmtId="180" fontId="31" fillId="0" borderId="0" xfId="0" applyNumberFormat="1" applyFont="1" applyFill="1" applyBorder="1" applyAlignment="1">
      <alignment horizontal="center" vertical="center"/>
    </xf>
    <xf numFmtId="180" fontId="31" fillId="0" borderId="0" xfId="0" applyNumberFormat="1" applyFont="1" applyFill="1" applyBorder="1" applyAlignment="1">
      <alignment horizontal="center" vertical="center" textRotation="255" wrapText="1"/>
    </xf>
    <xf numFmtId="180" fontId="31" fillId="0" borderId="0" xfId="0" applyNumberFormat="1" applyFont="1" applyFill="1" applyBorder="1" applyAlignment="1">
      <alignment horizontal="center" vertical="center" wrapText="1"/>
    </xf>
    <xf numFmtId="180" fontId="32" fillId="0" borderId="6" xfId="0" applyNumberFormat="1" applyFont="1" applyFill="1" applyBorder="1" applyAlignment="1">
      <alignment horizontal="center" vertical="center" wrapText="1"/>
    </xf>
    <xf numFmtId="180" fontId="32" fillId="0" borderId="1" xfId="0" applyNumberFormat="1" applyFont="1" applyFill="1" applyBorder="1" applyAlignment="1">
      <alignment horizontal="center" vertical="center" wrapText="1"/>
    </xf>
    <xf numFmtId="180" fontId="32" fillId="0" borderId="2" xfId="0" applyNumberFormat="1" applyFont="1" applyFill="1" applyBorder="1" applyAlignment="1">
      <alignment horizontal="center" vertical="center" wrapText="1"/>
    </xf>
    <xf numFmtId="180" fontId="32" fillId="0" borderId="4" xfId="0" applyNumberFormat="1" applyFont="1" applyFill="1" applyBorder="1" applyAlignment="1">
      <alignment horizontal="center" vertical="center" wrapText="1"/>
    </xf>
    <xf numFmtId="180" fontId="32" fillId="0" borderId="5" xfId="0" applyNumberFormat="1" applyFont="1" applyFill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80" fontId="6" fillId="0" borderId="9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1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0" fontId="32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zoomScale="80" zoomScaleNormal="80" topLeftCell="A2" workbookViewId="0">
      <pane ySplit="3" topLeftCell="A5" activePane="bottomLeft" state="frozen"/>
      <selection/>
      <selection pane="bottomLeft" activeCell="F8" sqref="F8"/>
    </sheetView>
  </sheetViews>
  <sheetFormatPr defaultColWidth="9" defaultRowHeight="15.6"/>
  <cols>
    <col min="1" max="1" width="5.7962962962963" style="167" customWidth="1"/>
    <col min="2" max="2" width="5" style="168" customWidth="1"/>
    <col min="3" max="3" width="17.037037037037" style="163" customWidth="1"/>
    <col min="4" max="4" width="19.0185185185185" style="163" customWidth="1"/>
    <col min="5" max="5" width="10.9814814814815" style="163" customWidth="1"/>
    <col min="6" max="6" width="17.6388888888889" style="163" customWidth="1"/>
    <col min="7" max="7" width="16.0555555555556" style="163" customWidth="1"/>
    <col min="8" max="8" width="14.6944444444444" style="163" customWidth="1"/>
    <col min="9" max="9" width="17.0277777777778" style="163" customWidth="1"/>
    <col min="10" max="10" width="13.7777777777778" style="163" customWidth="1"/>
    <col min="11" max="11" width="16.9814814814815" style="163" customWidth="1"/>
    <col min="12" max="12" width="13.9444444444444" style="163" customWidth="1"/>
    <col min="13" max="13" width="13.9074074074074" style="163" customWidth="1"/>
    <col min="14" max="14" width="16.037037037037" style="163" customWidth="1"/>
    <col min="15" max="15" width="8.08333333333333" style="163" customWidth="1"/>
    <col min="16" max="16" width="14.4444444444444" style="167"/>
    <col min="17" max="17" width="18.6666666666667" style="167"/>
    <col min="18" max="20" width="17.8518518518519" style="167" customWidth="1"/>
    <col min="21" max="16384" width="9" style="167"/>
  </cols>
  <sheetData>
    <row r="1" s="161" customFormat="1" ht="10" hidden="1" customHeight="1" spans="4:15"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="162" customFormat="1" ht="50" customHeight="1" spans="1:15">
      <c r="A2" s="170" t="s">
        <v>0</v>
      </c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="163" customFormat="1" ht="27" customHeight="1" spans="1:15">
      <c r="A3" s="173" t="s">
        <v>1</v>
      </c>
      <c r="B3" s="174" t="s">
        <v>2</v>
      </c>
      <c r="C3" s="174"/>
      <c r="D3" s="174" t="s">
        <v>3</v>
      </c>
      <c r="E3" s="174"/>
      <c r="F3" s="174"/>
      <c r="G3" s="175" t="s">
        <v>4</v>
      </c>
      <c r="H3" s="176"/>
      <c r="I3" s="176"/>
      <c r="J3" s="176"/>
      <c r="K3" s="176"/>
      <c r="L3" s="176"/>
      <c r="M3" s="196"/>
      <c r="N3" s="174" t="s">
        <v>5</v>
      </c>
      <c r="O3" s="174" t="s">
        <v>6</v>
      </c>
    </row>
    <row r="4" s="163" customFormat="1" ht="27" customHeight="1" spans="1:15">
      <c r="A4" s="177"/>
      <c r="B4" s="174"/>
      <c r="C4" s="174"/>
      <c r="D4" s="174" t="s">
        <v>7</v>
      </c>
      <c r="E4" s="174" t="s">
        <v>8</v>
      </c>
      <c r="F4" s="174" t="s">
        <v>9</v>
      </c>
      <c r="G4" s="174" t="s">
        <v>10</v>
      </c>
      <c r="H4" s="174" t="s">
        <v>11</v>
      </c>
      <c r="I4" s="174" t="s">
        <v>12</v>
      </c>
      <c r="J4" s="174" t="s">
        <v>13</v>
      </c>
      <c r="K4" s="174" t="s">
        <v>12</v>
      </c>
      <c r="L4" s="174" t="s">
        <v>14</v>
      </c>
      <c r="M4" s="174" t="s">
        <v>12</v>
      </c>
      <c r="N4" s="174"/>
      <c r="O4" s="174"/>
    </row>
    <row r="5" s="164" customFormat="1" ht="28" customHeight="1" spans="1:15">
      <c r="A5" s="178">
        <f>附件2新兴!A6+附件3屯城!A6+附件4西昌!A6+附件5坡心!A6+附件6南坤!A6+附件7南吕!A6+附件8枫木!A6+附件9乌坡!A6+附件10县政府投资项目管理中心!A6+附件11民族!A6+附件12水务!A6+附件13.农业农村局!A6+3</f>
        <v>223</v>
      </c>
      <c r="B5" s="179" t="s">
        <v>15</v>
      </c>
      <c r="C5" s="180"/>
      <c r="D5" s="181" t="s">
        <v>16</v>
      </c>
      <c r="E5" s="181" t="s">
        <v>16</v>
      </c>
      <c r="F5" s="181">
        <f>F6+F9+F14</f>
        <v>25866.183559</v>
      </c>
      <c r="G5" s="181">
        <f>H5+J5+L5</f>
        <v>17259.133323</v>
      </c>
      <c r="H5" s="182">
        <f>H6+H9+H14</f>
        <v>8591</v>
      </c>
      <c r="I5" s="181"/>
      <c r="J5" s="181">
        <f>J6+J9+J14</f>
        <v>6744.000699</v>
      </c>
      <c r="K5" s="181"/>
      <c r="L5" s="181">
        <f>L6+L9+L14</f>
        <v>1924.132624</v>
      </c>
      <c r="M5" s="181"/>
      <c r="N5" s="181" t="s">
        <v>16</v>
      </c>
      <c r="O5" s="181"/>
    </row>
    <row r="6" s="165" customFormat="1" ht="28" customHeight="1" spans="1:15">
      <c r="A6" s="183" t="s">
        <v>17</v>
      </c>
      <c r="B6" s="179" t="s">
        <v>10</v>
      </c>
      <c r="C6" s="180"/>
      <c r="D6" s="181" t="s">
        <v>16</v>
      </c>
      <c r="E6" s="181" t="s">
        <v>16</v>
      </c>
      <c r="F6" s="181">
        <f>SUM(F7:F8)</f>
        <v>10022.045541</v>
      </c>
      <c r="G6" s="181">
        <f>H6+J6+L6</f>
        <v>9914.68413</v>
      </c>
      <c r="H6" s="184">
        <f>H7+H8</f>
        <v>5929.150997</v>
      </c>
      <c r="I6" s="184"/>
      <c r="J6" s="184">
        <f>J7+J8</f>
        <v>3549.878149</v>
      </c>
      <c r="K6" s="184"/>
      <c r="L6" s="184">
        <f>L7+L8</f>
        <v>435.654984</v>
      </c>
      <c r="M6" s="181"/>
      <c r="N6" s="181"/>
      <c r="O6" s="181"/>
    </row>
    <row r="7" s="166" customFormat="1" ht="75" customHeight="1" spans="1:15">
      <c r="A7" s="185"/>
      <c r="B7" s="186" t="s">
        <v>18</v>
      </c>
      <c r="C7" s="24" t="s">
        <v>19</v>
      </c>
      <c r="D7" s="24" t="s">
        <v>20</v>
      </c>
      <c r="E7" s="24" t="s">
        <v>21</v>
      </c>
      <c r="F7" s="24">
        <f>附件2新兴!E7+附件5坡心!E7+附件6南坤!E7+附件8枫木!E7+附件3屯城!E7+附件4西昌!E7+附件7南吕!E7+附件9乌坡!E7</f>
        <v>9284.988561</v>
      </c>
      <c r="G7" s="187">
        <f>H7+J7+L7</f>
        <v>9177.62715</v>
      </c>
      <c r="H7" s="24">
        <f>附件2新兴!G7+附件3屯城!G7+附件4西昌!G7+附件5坡心!G7+附件6南坤!G7+附件8枫木!G7+附件9乌坡!G7+附件7南吕!G7</f>
        <v>5225.064605</v>
      </c>
      <c r="I7" s="133" t="s">
        <v>22</v>
      </c>
      <c r="J7" s="24">
        <f>附件2新兴!I7+附件3屯城!I7+附件4西昌!I8+附件5坡心!I7+附件6南坤!I7+附件8枫木!I7+附件9乌坡!I7+附件7南吕!I7</f>
        <v>3516.907561</v>
      </c>
      <c r="K7" s="24" t="s">
        <v>23</v>
      </c>
      <c r="L7" s="24">
        <f>附件2新兴!K7+附件3屯城!K7+附件4西昌!K8+附件5坡心!K7+附件6南坤!K7+附件8枫木!K7+附件9乌坡!K7+附件7南吕!K7</f>
        <v>435.654984</v>
      </c>
      <c r="M7" s="24" t="s">
        <v>24</v>
      </c>
      <c r="N7" s="24" t="s">
        <v>25</v>
      </c>
      <c r="O7" s="24" t="s">
        <v>26</v>
      </c>
    </row>
    <row r="8" s="166" customFormat="1" ht="60" customHeight="1" spans="1:15">
      <c r="A8" s="185"/>
      <c r="B8" s="188"/>
      <c r="C8" s="189" t="s">
        <v>27</v>
      </c>
      <c r="D8" s="24" t="s">
        <v>28</v>
      </c>
      <c r="E8" s="24" t="s">
        <v>29</v>
      </c>
      <c r="F8" s="190">
        <f>附件2新兴!E13+附件3屯城!E10+附件4西昌!E10+附件5坡心!E9+附件6南坤!E11+附件7南吕!E9+附件8枫木!E14+附件9乌坡!E9</f>
        <v>737.05698</v>
      </c>
      <c r="G8" s="190">
        <f t="shared" ref="G8:G17" si="0">H8+J8+L8</f>
        <v>737.05698</v>
      </c>
      <c r="H8" s="24">
        <f>附件2新兴!G13+附件3屯城!G10+附件4西昌!G10+附件5坡心!G9+附件6南坤!G11+附件7南吕!G9+附件8枫木!G14+附件9乌坡!G9</f>
        <v>704.086392</v>
      </c>
      <c r="I8" s="133" t="s">
        <v>30</v>
      </c>
      <c r="J8" s="24">
        <f>附件2新兴!I13+附件3屯城!I10+附件4西昌!I10+附件5坡心!I9+附件6南坤!I11+附件7南吕!I9+附件8枫木!I14+附件9乌坡!I9</f>
        <v>32.970588</v>
      </c>
      <c r="K8" s="24" t="s">
        <v>31</v>
      </c>
      <c r="L8" s="156">
        <f>附件2新兴!K13+附件3屯城!J10+附件4西昌!K10+附件5坡心!K9+附件6南坤!K11+附件7南吕!K9+附件8枫木!K14+附件9乌坡!K9</f>
        <v>0</v>
      </c>
      <c r="M8" s="24" t="s">
        <v>16</v>
      </c>
      <c r="N8" s="24" t="s">
        <v>25</v>
      </c>
      <c r="O8" s="24" t="s">
        <v>26</v>
      </c>
    </row>
    <row r="9" s="165" customFormat="1" ht="29" customHeight="1" spans="1:15">
      <c r="A9" s="191" t="s">
        <v>32</v>
      </c>
      <c r="B9" s="179" t="s">
        <v>10</v>
      </c>
      <c r="C9" s="180"/>
      <c r="D9" s="181" t="s">
        <v>16</v>
      </c>
      <c r="E9" s="181" t="s">
        <v>16</v>
      </c>
      <c r="F9" s="181">
        <f>SUM(F10:F13)</f>
        <v>15524.698918</v>
      </c>
      <c r="G9" s="181">
        <f t="shared" si="0"/>
        <v>7025.010093</v>
      </c>
      <c r="H9" s="181">
        <f>H10+H11+H12+H13</f>
        <v>2342.409903</v>
      </c>
      <c r="I9" s="181"/>
      <c r="J9" s="181">
        <f>J10+J11+J12+J13</f>
        <v>3194.12255</v>
      </c>
      <c r="K9" s="181"/>
      <c r="L9" s="181">
        <f>L10+L11+L12+L13</f>
        <v>1488.47764</v>
      </c>
      <c r="M9" s="181"/>
      <c r="N9" s="181" t="s">
        <v>16</v>
      </c>
      <c r="O9" s="181"/>
    </row>
    <row r="10" s="166" customFormat="1" ht="78" customHeight="1" spans="1:15">
      <c r="A10" s="192"/>
      <c r="B10" s="186" t="s">
        <v>33</v>
      </c>
      <c r="C10" s="24" t="s">
        <v>34</v>
      </c>
      <c r="D10" s="24" t="s">
        <v>35</v>
      </c>
      <c r="E10" s="24" t="s">
        <v>36</v>
      </c>
      <c r="F10" s="24">
        <f>附件2新兴!E22+附件3屯城!E17+附件4西昌!E15+附件5坡心!E18+附件6南坤!E20+附件7南吕!E21+附件8枫木!E23+附件9乌坡!E15+附件10县政府投资项目管理中心!E7+附件11民族!E14+附件12水务!E7+附件13.农业农村局!E7</f>
        <v>9463.585122</v>
      </c>
      <c r="G10" s="24">
        <f t="shared" si="0"/>
        <v>1846.454387</v>
      </c>
      <c r="H10" s="24">
        <f>附件2新兴!G22+附件3屯城!G17+附件4西昌!G15+附件5坡心!G18+附件6南坤!G20+附件7南吕!G21+附件8枫木!G23+附件9乌坡!G15+附件10县政府投资项目管理中心!G7+附件11民族!G14+附件12水务!G7+附件13.农业农村局!G7</f>
        <v>7.924746</v>
      </c>
      <c r="I10" s="24" t="s">
        <v>37</v>
      </c>
      <c r="J10" s="24">
        <f>附件2新兴!I22+附件3屯城!I17+附件4西昌!I15+附件5坡心!I18+附件6南坤!I20+附件7南吕!I21+附件8枫木!I23+附件9乌坡!I15+附件10县政府投资项目管理中心!I7+附件11民族!I14+附件12水务!I7+附件13.农业农村局!I7</f>
        <v>1264.08866</v>
      </c>
      <c r="K10" s="24" t="s">
        <v>38</v>
      </c>
      <c r="L10" s="24">
        <f>附件2新兴!K22+附件3屯城!K17+附件4西昌!K15+附件5坡心!K18+附件6南坤!K20+附件7南吕!K21+附件8枫木!K23+附件9乌坡!K15+附件10县政府投资项目管理中心!K7+附件11民族!K14+附件12水务!K7+附件13.农业农村局!K7</f>
        <v>574.440981</v>
      </c>
      <c r="M10" s="24" t="s">
        <v>39</v>
      </c>
      <c r="N10" s="24" t="s">
        <v>40</v>
      </c>
      <c r="O10" s="24" t="s">
        <v>41</v>
      </c>
    </row>
    <row r="11" s="166" customFormat="1" ht="61" customHeight="1" spans="1:15">
      <c r="A11" s="192"/>
      <c r="B11" s="188"/>
      <c r="C11" s="189" t="s">
        <v>42</v>
      </c>
      <c r="D11" s="24" t="s">
        <v>43</v>
      </c>
      <c r="E11" s="24" t="s">
        <v>44</v>
      </c>
      <c r="F11" s="24">
        <f>附件2新兴!E16+附件3屯城!E13+附件4西昌!E13+附件5坡心!E12+附件6南坤!E14+附件7南吕!E12+附件8枫木!E17+附件9乌坡!E12</f>
        <v>5284.963872</v>
      </c>
      <c r="G11" s="24">
        <f t="shared" si="0"/>
        <v>4402.405782</v>
      </c>
      <c r="H11" s="24">
        <f>附件2新兴!G16+附件3屯城!G13+附件4西昌!G13+附件5坡心!G12+附件6南坤!G14+附件7南吕!G12+附件8枫木!G17+附件9乌坡!G12</f>
        <v>2221.485157</v>
      </c>
      <c r="I11" s="133" t="s">
        <v>45</v>
      </c>
      <c r="J11" s="24">
        <f>附件2新兴!I16+附件3屯城!I13+附件4西昌!I13+附件5坡心!I12+附件6南坤!I14+附件7南吕!I12+附件8枫木!I17+附件9乌坡!I12</f>
        <v>1843.03389</v>
      </c>
      <c r="K11" s="24" t="s">
        <v>46</v>
      </c>
      <c r="L11" s="24">
        <f>附件2新兴!K16+附件3屯城!K13+附件4西昌!K13+附件5坡心!K12+附件6南坤!K14+附件7南吕!K12+附件8枫木!K17+附件9乌坡!K12</f>
        <v>337.886735</v>
      </c>
      <c r="M11" s="24" t="s">
        <v>47</v>
      </c>
      <c r="N11" s="24" t="s">
        <v>25</v>
      </c>
      <c r="O11" s="24" t="s">
        <v>26</v>
      </c>
    </row>
    <row r="12" s="166" customFormat="1" ht="53" customHeight="1" spans="1:15">
      <c r="A12" s="192"/>
      <c r="B12" s="188"/>
      <c r="C12" s="24" t="s">
        <v>48</v>
      </c>
      <c r="D12" s="24" t="s">
        <v>49</v>
      </c>
      <c r="E12" s="24" t="s">
        <v>44</v>
      </c>
      <c r="F12" s="24">
        <f>附件11民族!E7</f>
        <v>200</v>
      </c>
      <c r="G12" s="24">
        <f t="shared" si="0"/>
        <v>200</v>
      </c>
      <c r="H12" s="24">
        <f>附件11民族!G7</f>
        <v>113</v>
      </c>
      <c r="I12" s="133" t="s">
        <v>50</v>
      </c>
      <c r="J12" s="156">
        <f>附件11民族!I7</f>
        <v>87</v>
      </c>
      <c r="K12" s="24" t="s">
        <v>51</v>
      </c>
      <c r="L12" s="156">
        <v>0</v>
      </c>
      <c r="M12" s="24" t="s">
        <v>16</v>
      </c>
      <c r="N12" s="24" t="s">
        <v>52</v>
      </c>
      <c r="O12" s="24" t="s">
        <v>53</v>
      </c>
    </row>
    <row r="13" s="166" customFormat="1" ht="63" customHeight="1" spans="1:15">
      <c r="A13" s="192"/>
      <c r="B13" s="188"/>
      <c r="C13" s="24" t="s">
        <v>54</v>
      </c>
      <c r="D13" s="24" t="s">
        <v>55</v>
      </c>
      <c r="E13" s="24" t="s">
        <v>44</v>
      </c>
      <c r="F13" s="24">
        <f>附件2新兴!E31+附件3屯城!E42+附件4西昌!E17+附件5坡心!E28+附件6南坤!E47+附件7南吕!E39+附件8枫木!E31+附件9乌坡!E41+附件10县政府投资项目管理中心!E11+附件11民族!E21+附件12水务!E11+附件13.农业农村局!E10</f>
        <v>576.149924</v>
      </c>
      <c r="G13" s="24">
        <f t="shared" si="0"/>
        <v>576.149924</v>
      </c>
      <c r="H13" s="24">
        <f>附件2新兴!G31+附件3屯城!G42+附件4西昌!G17+附件5坡心!G28+附件6南坤!G47+附件7南吕!G39+附件8枫木!G31+附件9乌坡!G41+附件10县政府投资项目管理中心!G11+附件11民族!G21+附件12水务!G11+附件13.农业农村局!G6</f>
        <v>0</v>
      </c>
      <c r="I13" s="24" t="s">
        <v>16</v>
      </c>
      <c r="J13" s="156">
        <f>附件2新兴!I31+附件3屯城!I42+附件4西昌!I17+附件5坡心!I28+附件6南坤!I47+附件7南吕!I39+附件8枫木!I31+附件9乌坡!I41+附件10县政府投资项目管理中心!I11+附件11民族!I21+附件12水务!I11</f>
        <v>0</v>
      </c>
      <c r="K13" s="24" t="s">
        <v>16</v>
      </c>
      <c r="L13" s="24">
        <f>附件2新兴!K31+附件3屯城!K42+附件4西昌!K17+附件5坡心!K28+附件6南坤!K47+附件7南吕!K39+附件8枫木!K31+附件9乌坡!K41+附件10县政府投资项目管理中心!K11+附件11民族!K21+附件12水务!K11+附件13.农业农村局!K6</f>
        <v>576.149924</v>
      </c>
      <c r="M13" s="24" t="s">
        <v>56</v>
      </c>
      <c r="N13" s="24" t="s">
        <v>57</v>
      </c>
      <c r="O13" s="24" t="s">
        <v>41</v>
      </c>
    </row>
    <row r="14" s="165" customFormat="1" ht="29" customHeight="1" spans="1:15">
      <c r="A14" s="191" t="s">
        <v>58</v>
      </c>
      <c r="B14" s="181" t="s">
        <v>10</v>
      </c>
      <c r="C14" s="181"/>
      <c r="D14" s="181" t="s">
        <v>16</v>
      </c>
      <c r="E14" s="181" t="s">
        <v>16</v>
      </c>
      <c r="F14" s="193">
        <f>SUM(F15:F17)</f>
        <v>319.4391</v>
      </c>
      <c r="G14" s="193">
        <f t="shared" si="0"/>
        <v>319.4391</v>
      </c>
      <c r="H14" s="193">
        <f>H15+H17+H16</f>
        <v>319.4391</v>
      </c>
      <c r="I14" s="193"/>
      <c r="J14" s="193">
        <f>J15+J17+J16</f>
        <v>0</v>
      </c>
      <c r="K14" s="193"/>
      <c r="L14" s="193">
        <f>L15+L17+L16</f>
        <v>0</v>
      </c>
      <c r="M14" s="193"/>
      <c r="N14" s="181"/>
      <c r="O14" s="181"/>
    </row>
    <row r="15" s="166" customFormat="1" ht="53" customHeight="1" spans="1:15">
      <c r="A15" s="191"/>
      <c r="B15" s="24" t="s">
        <v>59</v>
      </c>
      <c r="C15" s="24" t="s">
        <v>60</v>
      </c>
      <c r="D15" s="24" t="s">
        <v>61</v>
      </c>
      <c r="E15" s="24" t="s">
        <v>62</v>
      </c>
      <c r="F15" s="22">
        <v>294.175</v>
      </c>
      <c r="G15" s="194">
        <f t="shared" si="0"/>
        <v>294.175</v>
      </c>
      <c r="H15" s="22">
        <v>294.175</v>
      </c>
      <c r="I15" s="133" t="s">
        <v>63</v>
      </c>
      <c r="J15" s="133">
        <v>0</v>
      </c>
      <c r="K15" s="24" t="s">
        <v>16</v>
      </c>
      <c r="L15" s="133">
        <v>0</v>
      </c>
      <c r="M15" s="24" t="s">
        <v>16</v>
      </c>
      <c r="N15" s="24" t="s">
        <v>64</v>
      </c>
      <c r="O15" s="24" t="s">
        <v>65</v>
      </c>
    </row>
    <row r="16" s="166" customFormat="1" ht="43" customHeight="1" spans="1:15">
      <c r="A16" s="191"/>
      <c r="B16" s="24"/>
      <c r="C16" s="24" t="s">
        <v>66</v>
      </c>
      <c r="D16" s="24" t="s">
        <v>67</v>
      </c>
      <c r="E16" s="24" t="s">
        <v>68</v>
      </c>
      <c r="F16" s="187">
        <v>20.2275</v>
      </c>
      <c r="G16" s="187">
        <f t="shared" si="0"/>
        <v>20.2275</v>
      </c>
      <c r="H16" s="187">
        <v>20.2275</v>
      </c>
      <c r="I16" s="133" t="s">
        <v>63</v>
      </c>
      <c r="J16" s="133">
        <v>0</v>
      </c>
      <c r="K16" s="24" t="s">
        <v>16</v>
      </c>
      <c r="L16" s="133">
        <v>0</v>
      </c>
      <c r="M16" s="24" t="s">
        <v>16</v>
      </c>
      <c r="N16" s="24" t="s">
        <v>64</v>
      </c>
      <c r="O16" s="24"/>
    </row>
    <row r="17" s="166" customFormat="1" ht="53" customHeight="1" spans="1:15">
      <c r="A17" s="191"/>
      <c r="B17" s="24"/>
      <c r="C17" s="24" t="s">
        <v>69</v>
      </c>
      <c r="D17" s="24" t="s">
        <v>70</v>
      </c>
      <c r="E17" s="195" t="s">
        <v>16</v>
      </c>
      <c r="F17" s="187">
        <v>5.0366</v>
      </c>
      <c r="G17" s="187">
        <f t="shared" si="0"/>
        <v>5.0366</v>
      </c>
      <c r="H17" s="187">
        <f>4.0725+0.9641</f>
        <v>5.0366</v>
      </c>
      <c r="I17" s="133" t="s">
        <v>71</v>
      </c>
      <c r="J17" s="133">
        <v>0</v>
      </c>
      <c r="K17" s="24" t="s">
        <v>16</v>
      </c>
      <c r="L17" s="133">
        <v>0</v>
      </c>
      <c r="M17" s="24" t="s">
        <v>16</v>
      </c>
      <c r="N17" s="24" t="s">
        <v>72</v>
      </c>
      <c r="O17" s="24"/>
    </row>
  </sheetData>
  <mergeCells count="18">
    <mergeCell ref="A1:C1"/>
    <mergeCell ref="A2:O2"/>
    <mergeCell ref="D3:F3"/>
    <mergeCell ref="G3:M3"/>
    <mergeCell ref="B5:C5"/>
    <mergeCell ref="B6:C6"/>
    <mergeCell ref="B9:C9"/>
    <mergeCell ref="B14:C14"/>
    <mergeCell ref="A3:A4"/>
    <mergeCell ref="A6:A8"/>
    <mergeCell ref="A9:A13"/>
    <mergeCell ref="A14:A17"/>
    <mergeCell ref="B7:B8"/>
    <mergeCell ref="B10:B13"/>
    <mergeCell ref="B15:B17"/>
    <mergeCell ref="N3:N4"/>
    <mergeCell ref="O3:O4"/>
    <mergeCell ref="B3:C4"/>
  </mergeCells>
  <pageMargins left="0.393055555555556" right="0.275" top="0.511805555555556" bottom="0.550694444444444" header="0.5" footer="0.5"/>
  <pageSetup paperSize="9" scale="67" fitToHeight="0" orientation="landscape" horizontalDpi="600"/>
  <headerFooter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zoomScale="80" zoomScaleNormal="80" workbookViewId="0">
      <pane ySplit="6" topLeftCell="A7" activePane="bottomLeft" state="frozen"/>
      <selection/>
      <selection pane="bottomLeft" activeCell="F6" sqref="F6"/>
    </sheetView>
  </sheetViews>
  <sheetFormatPr defaultColWidth="9" defaultRowHeight="30" customHeight="1"/>
  <cols>
    <col min="1" max="1" width="4.16666666666667" style="10" customWidth="1"/>
    <col min="2" max="2" width="18.2407407407407" style="10" customWidth="1"/>
    <col min="3" max="3" width="15.9722222222222" style="10" customWidth="1"/>
    <col min="4" max="4" width="16.1851851851852" style="10" customWidth="1"/>
    <col min="5" max="5" width="12.7777777777778" style="10" customWidth="1"/>
    <col min="6" max="6" width="10.787037037037" style="10" customWidth="1"/>
    <col min="7" max="7" width="12.6388888888889" style="10" customWidth="1"/>
    <col min="8" max="8" width="16.9444444444444" style="10" customWidth="1"/>
    <col min="9" max="9" width="10.8333333333333" style="10" customWidth="1"/>
    <col min="10" max="10" width="11.6666666666667" style="10" customWidth="1"/>
    <col min="11" max="11" width="11.5277777777778" style="10" customWidth="1"/>
    <col min="12" max="12" width="9.58333333333333" style="10" customWidth="1"/>
    <col min="13" max="13" width="9.86111111111111" style="1" customWidth="1"/>
    <col min="14" max="14" width="9" style="1"/>
    <col min="15" max="15" width="11.5" style="1"/>
    <col min="16" max="16" width="13.75" style="1"/>
    <col min="17" max="16384" width="9" style="1"/>
  </cols>
  <sheetData>
    <row r="1" s="10" customFormat="1" customHeight="1" spans="1:12">
      <c r="A1" s="154" t="s">
        <v>73</v>
      </c>
      <c r="B1" s="154"/>
      <c r="G1" s="1"/>
      <c r="H1" s="23"/>
      <c r="I1" s="1"/>
      <c r="J1" s="23"/>
      <c r="K1" s="1"/>
      <c r="L1" s="1"/>
    </row>
    <row r="2" s="151" customFormat="1" ht="35" customHeight="1" spans="1:13">
      <c r="A2" s="155" t="s">
        <v>74</v>
      </c>
      <c r="B2" s="155"/>
      <c r="C2" s="155"/>
      <c r="D2" s="155"/>
      <c r="E2" s="155"/>
      <c r="F2" s="155"/>
      <c r="G2" s="117"/>
      <c r="H2" s="117"/>
      <c r="I2" s="117"/>
      <c r="J2" s="117"/>
      <c r="K2" s="117"/>
      <c r="L2" s="117"/>
      <c r="M2" s="155"/>
    </row>
    <row r="3" s="10" customFormat="1" ht="29" customHeight="1" spans="1:13">
      <c r="A3" s="14" t="s">
        <v>75</v>
      </c>
      <c r="B3" s="14"/>
      <c r="C3" s="14"/>
      <c r="D3" s="14"/>
      <c r="E3" s="14"/>
      <c r="F3" s="14"/>
      <c r="G3" s="14"/>
      <c r="H3" s="128"/>
      <c r="I3" s="14"/>
      <c r="J3" s="128"/>
      <c r="K3" s="14"/>
      <c r="L3" s="14"/>
      <c r="M3" s="14"/>
    </row>
    <row r="4" s="152" customFormat="1" ht="36" customHeight="1" spans="1:13">
      <c r="A4" s="16" t="s">
        <v>1</v>
      </c>
      <c r="B4" s="16" t="s">
        <v>76</v>
      </c>
      <c r="C4" s="16" t="s">
        <v>77</v>
      </c>
      <c r="D4" s="16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6" t="s">
        <v>6</v>
      </c>
    </row>
    <row r="5" s="152" customFormat="1" ht="36" customHeight="1" spans="1:13">
      <c r="A5" s="16"/>
      <c r="B5" s="16"/>
      <c r="C5" s="16"/>
      <c r="D5" s="16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6"/>
    </row>
    <row r="6" s="7" customFormat="1" ht="26" customHeight="1" spans="1:13">
      <c r="A6" s="19">
        <f>A12+A15+A21+A30+A32</f>
        <v>21</v>
      </c>
      <c r="B6" s="130" t="s">
        <v>81</v>
      </c>
      <c r="C6" s="138"/>
      <c r="D6" s="19"/>
      <c r="E6" s="19">
        <f>E7+E13+E16+E22+E31</f>
        <v>2745.802882</v>
      </c>
      <c r="F6" s="20">
        <f t="shared" ref="F6:F11" si="0">G6+I6+K6</f>
        <v>2212.703637</v>
      </c>
      <c r="G6" s="19">
        <f>G7+G13+G16+G22+G31</f>
        <v>1441.270933</v>
      </c>
      <c r="H6" s="19"/>
      <c r="I6" s="19">
        <f>I7+I13+I16+I22+I31</f>
        <v>703.29183</v>
      </c>
      <c r="J6" s="19"/>
      <c r="K6" s="19">
        <f>K7+K13+K16+K22+K31</f>
        <v>68.140874</v>
      </c>
      <c r="L6" s="19"/>
      <c r="M6" s="20"/>
    </row>
    <row r="7" s="7" customFormat="1" customHeight="1" spans="1:13">
      <c r="A7" s="20" t="s">
        <v>82</v>
      </c>
      <c r="B7" s="20"/>
      <c r="C7" s="20"/>
      <c r="D7" s="34" t="s">
        <v>80</v>
      </c>
      <c r="E7" s="20">
        <f>SUM(E8:E12)</f>
        <v>1438.410006</v>
      </c>
      <c r="F7" s="20">
        <f t="shared" si="0"/>
        <v>1331.048595</v>
      </c>
      <c r="G7" s="20">
        <f>SUM(G8:G12)</f>
        <v>809.728595</v>
      </c>
      <c r="H7" s="20"/>
      <c r="I7" s="20">
        <f>SUM(I8:I12)</f>
        <v>521.32</v>
      </c>
      <c r="J7" s="20"/>
      <c r="K7" s="20">
        <f>SUM(K8:K12)</f>
        <v>0</v>
      </c>
      <c r="L7" s="20"/>
      <c r="M7" s="20"/>
    </row>
    <row r="8" s="7" customFormat="1" ht="91" customHeight="1" spans="1:13">
      <c r="A8" s="26">
        <v>1</v>
      </c>
      <c r="B8" s="22" t="s">
        <v>83</v>
      </c>
      <c r="C8" s="30" t="s">
        <v>84</v>
      </c>
      <c r="D8" s="30" t="s">
        <v>85</v>
      </c>
      <c r="E8" s="21">
        <v>300</v>
      </c>
      <c r="F8" s="26">
        <f t="shared" si="0"/>
        <v>300</v>
      </c>
      <c r="G8" s="22">
        <v>300</v>
      </c>
      <c r="H8" s="22" t="s">
        <v>63</v>
      </c>
      <c r="I8" s="21">
        <v>0</v>
      </c>
      <c r="J8" s="21" t="s">
        <v>16</v>
      </c>
      <c r="K8" s="21">
        <v>0</v>
      </c>
      <c r="L8" s="21" t="s">
        <v>16</v>
      </c>
      <c r="M8" s="110"/>
    </row>
    <row r="9" s="7" customFormat="1" ht="38" customHeight="1" spans="1:13">
      <c r="A9" s="26">
        <v>2</v>
      </c>
      <c r="B9" s="22" t="s">
        <v>86</v>
      </c>
      <c r="C9" s="26" t="s">
        <v>87</v>
      </c>
      <c r="D9" s="26" t="s">
        <v>88</v>
      </c>
      <c r="E9" s="21">
        <v>500</v>
      </c>
      <c r="F9" s="26">
        <f t="shared" si="0"/>
        <v>500</v>
      </c>
      <c r="G9" s="21">
        <v>0</v>
      </c>
      <c r="H9" s="21" t="s">
        <v>16</v>
      </c>
      <c r="I9" s="21">
        <v>500</v>
      </c>
      <c r="J9" s="22" t="s">
        <v>89</v>
      </c>
      <c r="K9" s="21">
        <v>0</v>
      </c>
      <c r="L9" s="21" t="s">
        <v>16</v>
      </c>
      <c r="M9" s="110"/>
    </row>
    <row r="10" s="23" customFormat="1" ht="44" customHeight="1" spans="1:13">
      <c r="A10" s="26">
        <v>3</v>
      </c>
      <c r="B10" s="22" t="s">
        <v>90</v>
      </c>
      <c r="C10" s="22" t="s">
        <v>91</v>
      </c>
      <c r="D10" s="26" t="s">
        <v>92</v>
      </c>
      <c r="E10" s="38">
        <v>500</v>
      </c>
      <c r="F10" s="26">
        <f t="shared" si="0"/>
        <v>500</v>
      </c>
      <c r="G10" s="38">
        <v>500</v>
      </c>
      <c r="H10" s="22" t="s">
        <v>63</v>
      </c>
      <c r="I10" s="38">
        <v>0</v>
      </c>
      <c r="J10" s="38" t="s">
        <v>16</v>
      </c>
      <c r="K10" s="38">
        <v>0</v>
      </c>
      <c r="L10" s="38" t="s">
        <v>16</v>
      </c>
      <c r="M10" s="22"/>
    </row>
    <row r="11" s="23" customFormat="1" ht="38" customHeight="1" spans="1:13">
      <c r="A11" s="26">
        <v>4</v>
      </c>
      <c r="B11" s="22" t="s">
        <v>93</v>
      </c>
      <c r="C11" s="22" t="s">
        <v>94</v>
      </c>
      <c r="D11" s="26" t="s">
        <v>88</v>
      </c>
      <c r="E11" s="38">
        <v>102.181059</v>
      </c>
      <c r="F11" s="26">
        <f t="shared" si="0"/>
        <v>9.728595</v>
      </c>
      <c r="G11" s="38">
        <v>9.728595</v>
      </c>
      <c r="H11" s="22" t="s">
        <v>63</v>
      </c>
      <c r="I11" s="38">
        <v>0</v>
      </c>
      <c r="J11" s="38" t="s">
        <v>16</v>
      </c>
      <c r="K11" s="38">
        <v>0</v>
      </c>
      <c r="L11" s="38" t="s">
        <v>16</v>
      </c>
      <c r="M11" s="22"/>
    </row>
    <row r="12" s="153" customFormat="1" ht="42" customHeight="1" spans="1:13">
      <c r="A12" s="26">
        <v>5</v>
      </c>
      <c r="B12" s="22" t="s">
        <v>93</v>
      </c>
      <c r="C12" s="22" t="s">
        <v>95</v>
      </c>
      <c r="D12" s="22" t="s">
        <v>96</v>
      </c>
      <c r="E12" s="21">
        <v>36.228947</v>
      </c>
      <c r="F12" s="26">
        <f t="shared" ref="F12:F22" si="1">G12+I12+K12</f>
        <v>21.32</v>
      </c>
      <c r="G12" s="26">
        <v>0</v>
      </c>
      <c r="H12" s="20" t="s">
        <v>16</v>
      </c>
      <c r="I12" s="21">
        <f>36.18-14.86</f>
        <v>21.32</v>
      </c>
      <c r="J12" s="24" t="s">
        <v>97</v>
      </c>
      <c r="K12" s="26">
        <v>0</v>
      </c>
      <c r="L12" s="20" t="s">
        <v>16</v>
      </c>
      <c r="M12" s="22"/>
    </row>
    <row r="13" s="4" customFormat="1" ht="32" customHeight="1" spans="1:13">
      <c r="A13" s="20" t="s">
        <v>98</v>
      </c>
      <c r="B13" s="20"/>
      <c r="C13" s="20"/>
      <c r="D13" s="20" t="s">
        <v>80</v>
      </c>
      <c r="E13" s="42">
        <f>E14+E15</f>
        <v>120.4735</v>
      </c>
      <c r="F13" s="20">
        <f t="shared" si="1"/>
        <v>120.4735</v>
      </c>
      <c r="G13" s="42">
        <f>G14+G15</f>
        <v>113.4</v>
      </c>
      <c r="H13" s="42"/>
      <c r="I13" s="42">
        <f>I14+I15</f>
        <v>7.0735</v>
      </c>
      <c r="J13" s="42"/>
      <c r="K13" s="42">
        <f>K14+K15</f>
        <v>0</v>
      </c>
      <c r="L13" s="42"/>
      <c r="M13" s="26"/>
    </row>
    <row r="14" s="4" customFormat="1" ht="38" customHeight="1" spans="1:13">
      <c r="A14" s="26">
        <v>1</v>
      </c>
      <c r="B14" s="26" t="s">
        <v>99</v>
      </c>
      <c r="C14" s="26" t="s">
        <v>100</v>
      </c>
      <c r="D14" s="26" t="s">
        <v>101</v>
      </c>
      <c r="E14" s="22">
        <f>F14</f>
        <v>24.8735</v>
      </c>
      <c r="F14" s="26">
        <f t="shared" si="1"/>
        <v>24.8735</v>
      </c>
      <c r="G14" s="22">
        <f>6.65+11.15</f>
        <v>17.8</v>
      </c>
      <c r="H14" s="22" t="s">
        <v>63</v>
      </c>
      <c r="I14" s="94">
        <f>8-0.9265</f>
        <v>7.0735</v>
      </c>
      <c r="J14" s="24" t="s">
        <v>97</v>
      </c>
      <c r="K14" s="94">
        <v>0</v>
      </c>
      <c r="L14" s="38" t="s">
        <v>16</v>
      </c>
      <c r="M14" s="26"/>
    </row>
    <row r="15" s="4" customFormat="1" ht="50" customHeight="1" spans="1:13">
      <c r="A15" s="26">
        <v>2</v>
      </c>
      <c r="B15" s="26" t="s">
        <v>99</v>
      </c>
      <c r="C15" s="26" t="s">
        <v>102</v>
      </c>
      <c r="D15" s="26" t="s">
        <v>103</v>
      </c>
      <c r="E15" s="22">
        <f>F15</f>
        <v>95.6</v>
      </c>
      <c r="F15" s="26">
        <f t="shared" si="1"/>
        <v>95.6</v>
      </c>
      <c r="G15" s="22">
        <v>95.6</v>
      </c>
      <c r="H15" s="22" t="s">
        <v>104</v>
      </c>
      <c r="I15" s="94">
        <v>0</v>
      </c>
      <c r="J15" s="38" t="s">
        <v>16</v>
      </c>
      <c r="K15" s="94">
        <v>0</v>
      </c>
      <c r="L15" s="38" t="s">
        <v>16</v>
      </c>
      <c r="M15" s="26"/>
    </row>
    <row r="16" s="7" customFormat="1" customHeight="1" spans="1:13">
      <c r="A16" s="20" t="s">
        <v>105</v>
      </c>
      <c r="B16" s="20"/>
      <c r="C16" s="20"/>
      <c r="D16" s="20" t="s">
        <v>80</v>
      </c>
      <c r="E16" s="20">
        <f>SUM(E17:E21)</f>
        <v>647.677922</v>
      </c>
      <c r="F16" s="20">
        <f t="shared" si="1"/>
        <v>621.45</v>
      </c>
      <c r="G16" s="20">
        <f>SUM(G17:G21)</f>
        <v>518.142338</v>
      </c>
      <c r="H16" s="20"/>
      <c r="I16" s="20">
        <f>SUM(I17:I21)</f>
        <v>79.011995</v>
      </c>
      <c r="J16" s="20"/>
      <c r="K16" s="20">
        <f>SUM(K17:K21)</f>
        <v>24.295667</v>
      </c>
      <c r="L16" s="20"/>
      <c r="M16" s="20"/>
    </row>
    <row r="17" s="7" customFormat="1" ht="44" customHeight="1" spans="1:16">
      <c r="A17" s="26">
        <v>1</v>
      </c>
      <c r="B17" s="26" t="s">
        <v>106</v>
      </c>
      <c r="C17" s="22" t="s">
        <v>107</v>
      </c>
      <c r="D17" s="22" t="s">
        <v>108</v>
      </c>
      <c r="E17" s="94">
        <v>186.275028</v>
      </c>
      <c r="F17" s="26">
        <f t="shared" si="1"/>
        <v>180.4</v>
      </c>
      <c r="G17" s="136">
        <v>149.01</v>
      </c>
      <c r="H17" s="22" t="s">
        <v>63</v>
      </c>
      <c r="I17" s="94">
        <v>31.39</v>
      </c>
      <c r="J17" s="26" t="s">
        <v>89</v>
      </c>
      <c r="K17" s="94">
        <v>0</v>
      </c>
      <c r="L17" s="38" t="s">
        <v>16</v>
      </c>
      <c r="M17" s="20"/>
      <c r="P17" s="157"/>
    </row>
    <row r="18" s="7" customFormat="1" ht="44" customHeight="1" spans="1:13">
      <c r="A18" s="26">
        <v>2</v>
      </c>
      <c r="B18" s="26" t="s">
        <v>109</v>
      </c>
      <c r="C18" s="22" t="s">
        <v>110</v>
      </c>
      <c r="D18" s="22" t="s">
        <v>111</v>
      </c>
      <c r="E18" s="94">
        <v>88.628628</v>
      </c>
      <c r="F18" s="26">
        <f t="shared" si="1"/>
        <v>85.87</v>
      </c>
      <c r="G18" s="136">
        <v>70.9</v>
      </c>
      <c r="H18" s="22" t="s">
        <v>63</v>
      </c>
      <c r="I18" s="94">
        <f>3.81599+10.586005</f>
        <v>14.401995</v>
      </c>
      <c r="J18" s="26" t="s">
        <v>112</v>
      </c>
      <c r="K18" s="158">
        <v>0.568005</v>
      </c>
      <c r="L18" s="159" t="s">
        <v>113</v>
      </c>
      <c r="M18" s="20"/>
    </row>
    <row r="19" s="7" customFormat="1" ht="44" customHeight="1" spans="1:13">
      <c r="A19" s="26">
        <v>3</v>
      </c>
      <c r="B19" s="26" t="s">
        <v>114</v>
      </c>
      <c r="C19" s="22" t="s">
        <v>115</v>
      </c>
      <c r="D19" s="22" t="s">
        <v>116</v>
      </c>
      <c r="E19" s="94">
        <v>55.896389</v>
      </c>
      <c r="F19" s="26">
        <f t="shared" si="1"/>
        <v>54.13</v>
      </c>
      <c r="G19" s="136">
        <v>44.71</v>
      </c>
      <c r="H19" s="22" t="s">
        <v>63</v>
      </c>
      <c r="I19" s="94">
        <v>9.42</v>
      </c>
      <c r="J19" s="94" t="s">
        <v>117</v>
      </c>
      <c r="K19" s="94">
        <v>0</v>
      </c>
      <c r="L19" s="38" t="s">
        <v>16</v>
      </c>
      <c r="M19" s="20"/>
    </row>
    <row r="20" s="7" customFormat="1" ht="44" customHeight="1" spans="1:13">
      <c r="A20" s="26">
        <v>4</v>
      </c>
      <c r="B20" s="26" t="s">
        <v>118</v>
      </c>
      <c r="C20" s="22" t="s">
        <v>119</v>
      </c>
      <c r="D20" s="22" t="s">
        <v>120</v>
      </c>
      <c r="E20" s="94">
        <v>151.156226</v>
      </c>
      <c r="F20" s="26">
        <f t="shared" si="1"/>
        <v>144.71</v>
      </c>
      <c r="G20" s="26">
        <v>120.91</v>
      </c>
      <c r="H20" s="22" t="s">
        <v>63</v>
      </c>
      <c r="I20" s="136">
        <v>23.8</v>
      </c>
      <c r="J20" s="94" t="s">
        <v>89</v>
      </c>
      <c r="K20" s="94">
        <v>0</v>
      </c>
      <c r="L20" s="38" t="s">
        <v>16</v>
      </c>
      <c r="M20" s="20"/>
    </row>
    <row r="21" s="7" customFormat="1" ht="44" customHeight="1" spans="1:13">
      <c r="A21" s="26">
        <v>5</v>
      </c>
      <c r="B21" s="22" t="s">
        <v>121</v>
      </c>
      <c r="C21" s="22" t="s">
        <v>122</v>
      </c>
      <c r="D21" s="22" t="s">
        <v>123</v>
      </c>
      <c r="E21" s="156">
        <v>165.721651</v>
      </c>
      <c r="F21" s="26">
        <f t="shared" si="1"/>
        <v>156.34</v>
      </c>
      <c r="G21" s="22">
        <v>132.612338</v>
      </c>
      <c r="H21" s="22" t="s">
        <v>63</v>
      </c>
      <c r="I21" s="94">
        <v>0</v>
      </c>
      <c r="J21" s="38" t="s">
        <v>16</v>
      </c>
      <c r="K21" s="160">
        <v>23.727662</v>
      </c>
      <c r="L21" s="26" t="s">
        <v>113</v>
      </c>
      <c r="M21" s="20"/>
    </row>
    <row r="22" s="105" customFormat="1" ht="36" customHeight="1" spans="1:13">
      <c r="A22" s="19" t="s">
        <v>124</v>
      </c>
      <c r="B22" s="19"/>
      <c r="C22" s="19"/>
      <c r="D22" s="19" t="s">
        <v>80</v>
      </c>
      <c r="E22" s="42">
        <f>SUM(E23:E30)</f>
        <v>495.396247</v>
      </c>
      <c r="F22" s="42">
        <f t="shared" si="1"/>
        <v>95.886335</v>
      </c>
      <c r="G22" s="42">
        <f t="shared" ref="F22:K22" si="2">SUM(G23:G30)</f>
        <v>0</v>
      </c>
      <c r="H22" s="42"/>
      <c r="I22" s="42">
        <f t="shared" si="2"/>
        <v>95.886335</v>
      </c>
      <c r="J22" s="42"/>
      <c r="K22" s="42">
        <f t="shared" si="2"/>
        <v>0</v>
      </c>
      <c r="L22" s="42"/>
      <c r="M22" s="42"/>
    </row>
    <row r="23" s="23" customFormat="1" ht="35" customHeight="1" spans="1:13">
      <c r="A23" s="26">
        <v>1</v>
      </c>
      <c r="B23" s="94" t="s">
        <v>93</v>
      </c>
      <c r="C23" s="94" t="s">
        <v>125</v>
      </c>
      <c r="D23" s="94" t="s">
        <v>126</v>
      </c>
      <c r="E23" s="136">
        <v>50.497565</v>
      </c>
      <c r="F23" s="26">
        <f t="shared" ref="F23:F32" si="3">G23+I23+K23</f>
        <v>17.347565</v>
      </c>
      <c r="G23" s="94">
        <v>0</v>
      </c>
      <c r="H23" s="38" t="s">
        <v>16</v>
      </c>
      <c r="I23" s="22">
        <v>17.347565</v>
      </c>
      <c r="J23" s="94" t="s">
        <v>89</v>
      </c>
      <c r="K23" s="94">
        <v>0</v>
      </c>
      <c r="L23" s="38" t="s">
        <v>16</v>
      </c>
      <c r="M23" s="22"/>
    </row>
    <row r="24" s="23" customFormat="1" ht="35" customHeight="1" spans="1:13">
      <c r="A24" s="26">
        <v>2</v>
      </c>
      <c r="B24" s="94" t="s">
        <v>93</v>
      </c>
      <c r="C24" s="94" t="s">
        <v>127</v>
      </c>
      <c r="D24" s="94" t="s">
        <v>128</v>
      </c>
      <c r="E24" s="136">
        <v>20.709029</v>
      </c>
      <c r="F24" s="26">
        <f t="shared" si="3"/>
        <v>0.261078</v>
      </c>
      <c r="G24" s="94">
        <v>0</v>
      </c>
      <c r="H24" s="38" t="s">
        <v>16</v>
      </c>
      <c r="I24" s="22">
        <v>0.261078</v>
      </c>
      <c r="J24" s="94" t="s">
        <v>89</v>
      </c>
      <c r="K24" s="94">
        <v>0</v>
      </c>
      <c r="L24" s="38" t="s">
        <v>16</v>
      </c>
      <c r="M24" s="22"/>
    </row>
    <row r="25" s="23" customFormat="1" ht="35" customHeight="1" spans="1:13">
      <c r="A25" s="26">
        <v>3</v>
      </c>
      <c r="B25" s="94" t="s">
        <v>129</v>
      </c>
      <c r="C25" s="94" t="s">
        <v>130</v>
      </c>
      <c r="D25" s="94" t="s">
        <v>131</v>
      </c>
      <c r="E25" s="136">
        <v>32.016078</v>
      </c>
      <c r="F25" s="26">
        <f t="shared" si="3"/>
        <v>7.344117</v>
      </c>
      <c r="G25" s="94">
        <v>0</v>
      </c>
      <c r="H25" s="38" t="s">
        <v>16</v>
      </c>
      <c r="I25" s="22">
        <v>7.344117</v>
      </c>
      <c r="J25" s="94" t="s">
        <v>89</v>
      </c>
      <c r="K25" s="94">
        <v>0</v>
      </c>
      <c r="L25" s="38" t="s">
        <v>16</v>
      </c>
      <c r="M25" s="22"/>
    </row>
    <row r="26" s="23" customFormat="1" ht="35" customHeight="1" spans="1:13">
      <c r="A26" s="26">
        <v>4</v>
      </c>
      <c r="B26" s="94" t="s">
        <v>132</v>
      </c>
      <c r="C26" s="94" t="s">
        <v>133</v>
      </c>
      <c r="D26" s="94" t="s">
        <v>134</v>
      </c>
      <c r="E26" s="136">
        <v>92.364634</v>
      </c>
      <c r="F26" s="26">
        <f t="shared" si="3"/>
        <v>17.994634</v>
      </c>
      <c r="G26" s="94">
        <v>0</v>
      </c>
      <c r="H26" s="38" t="s">
        <v>16</v>
      </c>
      <c r="I26" s="26">
        <v>17.994634</v>
      </c>
      <c r="J26" s="94" t="s">
        <v>89</v>
      </c>
      <c r="K26" s="94">
        <v>0</v>
      </c>
      <c r="L26" s="38" t="s">
        <v>16</v>
      </c>
      <c r="M26" s="22"/>
    </row>
    <row r="27" s="23" customFormat="1" ht="35" customHeight="1" spans="1:13">
      <c r="A27" s="26">
        <v>5</v>
      </c>
      <c r="B27" s="94" t="s">
        <v>118</v>
      </c>
      <c r="C27" s="94" t="s">
        <v>135</v>
      </c>
      <c r="D27" s="94" t="s">
        <v>126</v>
      </c>
      <c r="E27" s="136">
        <v>44.498449</v>
      </c>
      <c r="F27" s="26">
        <f t="shared" si="3"/>
        <v>6.498449</v>
      </c>
      <c r="G27" s="94">
        <v>0</v>
      </c>
      <c r="H27" s="38" t="s">
        <v>16</v>
      </c>
      <c r="I27" s="26">
        <v>6.498449</v>
      </c>
      <c r="J27" s="94" t="s">
        <v>89</v>
      </c>
      <c r="K27" s="94">
        <v>0</v>
      </c>
      <c r="L27" s="38" t="s">
        <v>16</v>
      </c>
      <c r="M27" s="22"/>
    </row>
    <row r="28" s="23" customFormat="1" ht="35" customHeight="1" spans="1:13">
      <c r="A28" s="26">
        <v>6</v>
      </c>
      <c r="B28" s="94" t="s">
        <v>118</v>
      </c>
      <c r="C28" s="94" t="s">
        <v>136</v>
      </c>
      <c r="D28" s="94" t="s">
        <v>137</v>
      </c>
      <c r="E28" s="136">
        <v>149.619927</v>
      </c>
      <c r="F28" s="26">
        <f t="shared" si="3"/>
        <v>26.449927</v>
      </c>
      <c r="G28" s="94">
        <v>0</v>
      </c>
      <c r="H28" s="38" t="s">
        <v>16</v>
      </c>
      <c r="I28" s="26">
        <v>26.449927</v>
      </c>
      <c r="J28" s="94" t="s">
        <v>89</v>
      </c>
      <c r="K28" s="94">
        <v>0</v>
      </c>
      <c r="L28" s="38" t="s">
        <v>16</v>
      </c>
      <c r="M28" s="22"/>
    </row>
    <row r="29" s="23" customFormat="1" ht="35" customHeight="1" spans="1:13">
      <c r="A29" s="26">
        <v>7</v>
      </c>
      <c r="B29" s="94" t="s">
        <v>114</v>
      </c>
      <c r="C29" s="94" t="s">
        <v>138</v>
      </c>
      <c r="D29" s="94" t="s">
        <v>139</v>
      </c>
      <c r="E29" s="136">
        <v>60.09301</v>
      </c>
      <c r="F29" s="26">
        <f t="shared" si="3"/>
        <v>7.53301</v>
      </c>
      <c r="G29" s="94">
        <v>0</v>
      </c>
      <c r="H29" s="38" t="s">
        <v>16</v>
      </c>
      <c r="I29" s="26">
        <v>7.53301</v>
      </c>
      <c r="J29" s="94" t="s">
        <v>89</v>
      </c>
      <c r="K29" s="94">
        <v>0</v>
      </c>
      <c r="L29" s="38" t="s">
        <v>16</v>
      </c>
      <c r="M29" s="22"/>
    </row>
    <row r="30" s="23" customFormat="1" ht="35" customHeight="1" spans="1:13">
      <c r="A30" s="26">
        <v>8</v>
      </c>
      <c r="B30" s="94" t="s">
        <v>114</v>
      </c>
      <c r="C30" s="94" t="s">
        <v>140</v>
      </c>
      <c r="D30" s="94" t="s">
        <v>141</v>
      </c>
      <c r="E30" s="136">
        <v>45.597555</v>
      </c>
      <c r="F30" s="26">
        <f t="shared" si="3"/>
        <v>12.457555</v>
      </c>
      <c r="G30" s="94">
        <v>0</v>
      </c>
      <c r="H30" s="38" t="s">
        <v>16</v>
      </c>
      <c r="I30" s="26">
        <v>12.457555</v>
      </c>
      <c r="J30" s="94" t="s">
        <v>89</v>
      </c>
      <c r="K30" s="94">
        <v>0</v>
      </c>
      <c r="L30" s="38" t="s">
        <v>16</v>
      </c>
      <c r="M30" s="22"/>
    </row>
    <row r="31" s="7" customFormat="1" customHeight="1" spans="1:13">
      <c r="A31" s="20" t="s">
        <v>54</v>
      </c>
      <c r="B31" s="20"/>
      <c r="C31" s="20"/>
      <c r="D31" s="20" t="s">
        <v>80</v>
      </c>
      <c r="E31" s="20">
        <f>E32</f>
        <v>43.845207</v>
      </c>
      <c r="F31" s="20">
        <f t="shared" si="3"/>
        <v>43.845207</v>
      </c>
      <c r="G31" s="20">
        <f>G32</f>
        <v>0</v>
      </c>
      <c r="H31" s="20"/>
      <c r="I31" s="20">
        <f>I32</f>
        <v>0</v>
      </c>
      <c r="J31" s="20"/>
      <c r="K31" s="20">
        <f>K32</f>
        <v>43.845207</v>
      </c>
      <c r="L31" s="20"/>
      <c r="M31" s="20"/>
    </row>
    <row r="32" s="23" customFormat="1" ht="38" customHeight="1" spans="1:13">
      <c r="A32" s="26">
        <v>1</v>
      </c>
      <c r="B32" s="28" t="s">
        <v>99</v>
      </c>
      <c r="C32" s="28" t="s">
        <v>54</v>
      </c>
      <c r="D32" s="20" t="s">
        <v>16</v>
      </c>
      <c r="E32" s="26">
        <v>43.845207</v>
      </c>
      <c r="F32" s="26">
        <f t="shared" si="3"/>
        <v>43.845207</v>
      </c>
      <c r="G32" s="94">
        <v>0</v>
      </c>
      <c r="H32" s="38" t="s">
        <v>16</v>
      </c>
      <c r="I32" s="94">
        <v>0</v>
      </c>
      <c r="J32" s="24" t="s">
        <v>16</v>
      </c>
      <c r="K32" s="26">
        <v>43.845207</v>
      </c>
      <c r="L32" s="24" t="s">
        <v>113</v>
      </c>
      <c r="M32" s="22"/>
    </row>
  </sheetData>
  <mergeCells count="16">
    <mergeCell ref="A1:B1"/>
    <mergeCell ref="A2:M2"/>
    <mergeCell ref="A3:M3"/>
    <mergeCell ref="F4:L4"/>
    <mergeCell ref="B6:C6"/>
    <mergeCell ref="A7:C7"/>
    <mergeCell ref="A13:C13"/>
    <mergeCell ref="A16:C16"/>
    <mergeCell ref="A22:C22"/>
    <mergeCell ref="A31:C31"/>
    <mergeCell ref="A4:A5"/>
    <mergeCell ref="B4:B5"/>
    <mergeCell ref="C4:C5"/>
    <mergeCell ref="D4:D5"/>
    <mergeCell ref="E4:E5"/>
    <mergeCell ref="M4:M5"/>
  </mergeCells>
  <pageMargins left="0.393055555555556" right="0" top="0.472222222222222" bottom="0.354166666666667" header="0.5" footer="0.314583333333333"/>
  <pageSetup paperSize="9" scale="62" fitToHeight="0" orientation="portrait" horizontalDpi="600"/>
  <headerFooter/>
  <ignoredErrors>
    <ignoredError sqref="F6:F7 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zoomScale="80" zoomScaleNormal="80" workbookViewId="0">
      <pane ySplit="6" topLeftCell="A7" activePane="bottomLeft" state="frozen"/>
      <selection/>
      <selection pane="bottomLeft" activeCell="F6" sqref="F6"/>
    </sheetView>
  </sheetViews>
  <sheetFormatPr defaultColWidth="9" defaultRowHeight="30" customHeight="1"/>
  <cols>
    <col min="1" max="1" width="3.7962962962963" style="8" customWidth="1"/>
    <col min="2" max="2" width="24.7592592592593" style="8" customWidth="1"/>
    <col min="3" max="3" width="16.9814814814815" style="8" customWidth="1"/>
    <col min="4" max="4" width="18.2777777777778" style="8" customWidth="1"/>
    <col min="5" max="5" width="13.3333333333333" style="8" customWidth="1"/>
    <col min="6" max="6" width="13.9907407407407" style="8" customWidth="1"/>
    <col min="7" max="7" width="11.8888888888889" style="8" customWidth="1"/>
    <col min="8" max="8" width="13.3240740740741" style="8" customWidth="1"/>
    <col min="9" max="9" width="12.537037037037" style="8" customWidth="1"/>
    <col min="10" max="11" width="11.8981481481481" style="8" customWidth="1"/>
    <col min="12" max="12" width="13.287037037037" style="8" customWidth="1"/>
    <col min="13" max="13" width="5.87037037037037" style="8" customWidth="1"/>
    <col min="14" max="14" width="9" style="8"/>
    <col min="15" max="15" width="11.5833333333333" style="8" customWidth="1"/>
    <col min="16" max="16" width="9" style="8"/>
    <col min="17" max="17" width="14.1203703703704" style="8" customWidth="1"/>
    <col min="18" max="32" width="9" style="8"/>
    <col min="33" max="16384" width="17.3796296296296" style="8"/>
  </cols>
  <sheetData>
    <row r="1" s="8" customFormat="1" customHeight="1" spans="1:10">
      <c r="A1" s="86" t="s">
        <v>142</v>
      </c>
      <c r="B1" s="86"/>
      <c r="C1" s="86"/>
      <c r="F1" s="10"/>
      <c r="H1" s="6"/>
      <c r="J1" s="6"/>
    </row>
    <row r="2" s="143" customFormat="1" ht="41" customHeight="1" spans="1:13">
      <c r="A2" s="11" t="s">
        <v>143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88" customFormat="1" customHeight="1" spans="1:13">
      <c r="A3" s="14" t="s">
        <v>75</v>
      </c>
      <c r="B3" s="14"/>
      <c r="C3" s="14"/>
      <c r="D3" s="14"/>
      <c r="E3" s="14"/>
      <c r="F3" s="14"/>
      <c r="G3" s="14"/>
      <c r="H3" s="128"/>
      <c r="I3" s="14"/>
      <c r="J3" s="128"/>
      <c r="K3" s="14"/>
      <c r="L3" s="14"/>
      <c r="M3" s="14"/>
    </row>
    <row r="4" s="89" customFormat="1" ht="31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89" customFormat="1" ht="38" customHeight="1" spans="1:13">
      <c r="A5" s="15"/>
      <c r="B5" s="15"/>
      <c r="C5" s="15"/>
      <c r="D5" s="15"/>
      <c r="E5" s="16"/>
      <c r="F5" s="17" t="s">
        <v>144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5" customFormat="1" ht="32" customHeight="1" spans="1:13">
      <c r="A6" s="106">
        <f>A9+A12+A16+A41+A43</f>
        <v>32</v>
      </c>
      <c r="B6" s="106" t="s">
        <v>81</v>
      </c>
      <c r="C6" s="106"/>
      <c r="D6" s="106"/>
      <c r="E6" s="106">
        <f>E10+E13+E17+E42+E7</f>
        <v>4357.290532</v>
      </c>
      <c r="F6" s="29">
        <f t="shared" ref="F6:F17" si="0">G6+I6+K6</f>
        <v>3165.498246</v>
      </c>
      <c r="G6" s="29">
        <f>G7+G10+G13+G17+G42</f>
        <v>1270.943686</v>
      </c>
      <c r="H6" s="29"/>
      <c r="I6" s="29">
        <f>I7+I10+I13+I17+I42</f>
        <v>1813.75975</v>
      </c>
      <c r="J6" s="29"/>
      <c r="K6" s="29">
        <f>K7+K10+K13+K17+K42</f>
        <v>80.79481</v>
      </c>
      <c r="L6" s="29"/>
      <c r="M6" s="29"/>
    </row>
    <row r="7" s="7" customFormat="1" customHeight="1" spans="1:13">
      <c r="A7" s="20" t="s">
        <v>82</v>
      </c>
      <c r="B7" s="20"/>
      <c r="C7" s="20"/>
      <c r="D7" s="34" t="s">
        <v>80</v>
      </c>
      <c r="E7" s="20">
        <f>SUM(E8:E9)</f>
        <v>2277</v>
      </c>
      <c r="F7" s="29">
        <f t="shared" si="0"/>
        <v>2277</v>
      </c>
      <c r="G7" s="20">
        <f>G8+G9</f>
        <v>777</v>
      </c>
      <c r="H7" s="20"/>
      <c r="I7" s="20">
        <f>I8+I9</f>
        <v>1500</v>
      </c>
      <c r="J7" s="20"/>
      <c r="K7" s="20">
        <f>K8+K9</f>
        <v>0</v>
      </c>
      <c r="L7" s="20"/>
      <c r="M7" s="20"/>
    </row>
    <row r="8" s="7" customFormat="1" ht="131" customHeight="1" spans="1:13">
      <c r="A8" s="26">
        <v>1</v>
      </c>
      <c r="B8" s="91" t="s">
        <v>145</v>
      </c>
      <c r="C8" s="26" t="s">
        <v>146</v>
      </c>
      <c r="D8" s="92" t="s">
        <v>147</v>
      </c>
      <c r="E8" s="38">
        <v>1500</v>
      </c>
      <c r="F8" s="26">
        <f t="shared" si="0"/>
        <v>1500</v>
      </c>
      <c r="G8" s="26">
        <v>0</v>
      </c>
      <c r="H8" s="29" t="s">
        <v>16</v>
      </c>
      <c r="I8" s="26">
        <v>1500</v>
      </c>
      <c r="J8" s="26" t="s">
        <v>89</v>
      </c>
      <c r="K8" s="26">
        <v>0</v>
      </c>
      <c r="L8" s="29" t="s">
        <v>16</v>
      </c>
      <c r="M8" s="26"/>
    </row>
    <row r="9" s="7" customFormat="1" ht="72" customHeight="1" spans="1:13">
      <c r="A9" s="26">
        <v>2</v>
      </c>
      <c r="B9" s="107" t="s">
        <v>148</v>
      </c>
      <c r="C9" s="26" t="s">
        <v>149</v>
      </c>
      <c r="D9" s="120" t="s">
        <v>150</v>
      </c>
      <c r="E9" s="38">
        <v>777</v>
      </c>
      <c r="F9" s="21">
        <f t="shared" si="0"/>
        <v>777</v>
      </c>
      <c r="G9" s="26">
        <f>400+377</f>
        <v>777</v>
      </c>
      <c r="H9" s="22" t="s">
        <v>63</v>
      </c>
      <c r="I9" s="26">
        <v>0</v>
      </c>
      <c r="J9" s="29" t="s">
        <v>16</v>
      </c>
      <c r="K9" s="26">
        <v>0</v>
      </c>
      <c r="L9" s="29" t="s">
        <v>16</v>
      </c>
      <c r="M9" s="26"/>
    </row>
    <row r="10" s="4" customFormat="1" ht="32" customHeight="1" spans="1:13">
      <c r="A10" s="20" t="s">
        <v>98</v>
      </c>
      <c r="B10" s="20"/>
      <c r="C10" s="20"/>
      <c r="D10" s="20" t="s">
        <v>80</v>
      </c>
      <c r="E10" s="42">
        <f>E11+E12</f>
        <v>102.4509</v>
      </c>
      <c r="F10" s="29">
        <f t="shared" si="0"/>
        <v>102.4509</v>
      </c>
      <c r="G10" s="20">
        <f>G11+G12</f>
        <v>92.5509</v>
      </c>
      <c r="H10" s="20"/>
      <c r="I10" s="20">
        <f>I11+I12</f>
        <v>9.9</v>
      </c>
      <c r="J10" s="20"/>
      <c r="K10" s="20">
        <f>K11+K12</f>
        <v>0</v>
      </c>
      <c r="L10" s="20"/>
      <c r="M10" s="26"/>
    </row>
    <row r="11" s="4" customFormat="1" ht="47" customHeight="1" spans="1:13">
      <c r="A11" s="26">
        <v>1</v>
      </c>
      <c r="B11" s="26" t="s">
        <v>151</v>
      </c>
      <c r="C11" s="26" t="s">
        <v>100</v>
      </c>
      <c r="D11" s="22" t="s">
        <v>101</v>
      </c>
      <c r="E11" s="26">
        <v>17.5509</v>
      </c>
      <c r="F11" s="21">
        <f t="shared" si="0"/>
        <v>17.5509</v>
      </c>
      <c r="G11" s="26">
        <v>17.5509</v>
      </c>
      <c r="H11" s="22" t="s">
        <v>63</v>
      </c>
      <c r="I11" s="26">
        <v>0</v>
      </c>
      <c r="J11" s="29" t="s">
        <v>16</v>
      </c>
      <c r="K11" s="26">
        <v>0</v>
      </c>
      <c r="L11" s="29" t="s">
        <v>16</v>
      </c>
      <c r="M11" s="26"/>
    </row>
    <row r="12" s="4" customFormat="1" ht="47" customHeight="1" spans="1:13">
      <c r="A12" s="26">
        <v>2</v>
      </c>
      <c r="B12" s="26" t="s">
        <v>151</v>
      </c>
      <c r="C12" s="26" t="s">
        <v>102</v>
      </c>
      <c r="D12" s="26" t="s">
        <v>103</v>
      </c>
      <c r="E12" s="26">
        <v>84.9</v>
      </c>
      <c r="F12" s="21">
        <f t="shared" si="0"/>
        <v>84.9</v>
      </c>
      <c r="G12" s="26">
        <v>75</v>
      </c>
      <c r="H12" s="22" t="s">
        <v>63</v>
      </c>
      <c r="I12" s="26">
        <v>9.9</v>
      </c>
      <c r="J12" s="22" t="s">
        <v>152</v>
      </c>
      <c r="K12" s="26">
        <v>0</v>
      </c>
      <c r="L12" s="29" t="s">
        <v>16</v>
      </c>
      <c r="M12" s="26"/>
    </row>
    <row r="13" s="7" customFormat="1" ht="32" customHeight="1" spans="1:13">
      <c r="A13" s="20" t="s">
        <v>105</v>
      </c>
      <c r="B13" s="20"/>
      <c r="C13" s="20"/>
      <c r="D13" s="20" t="s">
        <v>80</v>
      </c>
      <c r="E13" s="95">
        <f>SUM(E14:E16)</f>
        <v>525.544944</v>
      </c>
      <c r="F13" s="29">
        <f t="shared" si="0"/>
        <v>419</v>
      </c>
      <c r="G13" s="20">
        <f>G14+G16+G15</f>
        <v>401.392786</v>
      </c>
      <c r="H13" s="20"/>
      <c r="I13" s="20">
        <f>I14+I16+I15</f>
        <v>9.927913</v>
      </c>
      <c r="J13" s="20"/>
      <c r="K13" s="20">
        <f>K14+K15+K16</f>
        <v>7.679301</v>
      </c>
      <c r="L13" s="20"/>
      <c r="M13" s="20"/>
    </row>
    <row r="14" s="4" customFormat="1" ht="39" customHeight="1" spans="1:13">
      <c r="A14" s="26">
        <v>1</v>
      </c>
      <c r="B14" s="26" t="s">
        <v>153</v>
      </c>
      <c r="C14" s="22" t="s">
        <v>154</v>
      </c>
      <c r="D14" s="26" t="s">
        <v>155</v>
      </c>
      <c r="E14" s="38">
        <v>387.045467</v>
      </c>
      <c r="F14" s="21">
        <f t="shared" si="0"/>
        <v>309</v>
      </c>
      <c r="G14" s="26">
        <v>309</v>
      </c>
      <c r="H14" s="22" t="s">
        <v>63</v>
      </c>
      <c r="I14" s="26">
        <v>0</v>
      </c>
      <c r="J14" s="29" t="s">
        <v>16</v>
      </c>
      <c r="K14" s="26">
        <v>0</v>
      </c>
      <c r="L14" s="29" t="s">
        <v>16</v>
      </c>
      <c r="M14" s="26"/>
    </row>
    <row r="15" s="4" customFormat="1" ht="39" customHeight="1" spans="1:13">
      <c r="A15" s="26">
        <v>2</v>
      </c>
      <c r="B15" s="26" t="s">
        <v>156</v>
      </c>
      <c r="C15" s="22" t="s">
        <v>157</v>
      </c>
      <c r="D15" s="22" t="s">
        <v>158</v>
      </c>
      <c r="E15" s="38">
        <v>96.562053</v>
      </c>
      <c r="F15" s="21">
        <f t="shared" si="0"/>
        <v>77</v>
      </c>
      <c r="G15" s="26">
        <f>60+5.1789-3</f>
        <v>62.1789</v>
      </c>
      <c r="H15" s="22" t="s">
        <v>63</v>
      </c>
      <c r="I15" s="149">
        <v>7.141799</v>
      </c>
      <c r="J15" s="150" t="s">
        <v>89</v>
      </c>
      <c r="K15" s="26">
        <v>7.679301</v>
      </c>
      <c r="L15" s="21" t="s">
        <v>159</v>
      </c>
      <c r="M15" s="26"/>
    </row>
    <row r="16" s="4" customFormat="1" ht="39" customHeight="1" spans="1:13">
      <c r="A16" s="26">
        <v>3</v>
      </c>
      <c r="B16" s="26" t="s">
        <v>160</v>
      </c>
      <c r="C16" s="22" t="s">
        <v>161</v>
      </c>
      <c r="D16" s="22" t="s">
        <v>162</v>
      </c>
      <c r="E16" s="38">
        <v>41.937424</v>
      </c>
      <c r="F16" s="21">
        <f t="shared" si="0"/>
        <v>33</v>
      </c>
      <c r="G16" s="26">
        <f>15+5+6+4.213886</f>
        <v>30.213886</v>
      </c>
      <c r="H16" s="22" t="s">
        <v>63</v>
      </c>
      <c r="I16" s="26">
        <v>2.786114</v>
      </c>
      <c r="J16" s="22" t="s">
        <v>117</v>
      </c>
      <c r="K16" s="26">
        <v>0</v>
      </c>
      <c r="L16" s="29" t="s">
        <v>16</v>
      </c>
      <c r="M16" s="26"/>
    </row>
    <row r="17" s="5" customFormat="1" ht="32" customHeight="1" spans="1:13">
      <c r="A17" s="19" t="s">
        <v>124</v>
      </c>
      <c r="B17" s="19"/>
      <c r="C17" s="19"/>
      <c r="D17" s="19" t="s">
        <v>80</v>
      </c>
      <c r="E17" s="95">
        <f>SUM(E18:E41)</f>
        <v>1395.750982</v>
      </c>
      <c r="F17" s="95">
        <f t="shared" si="0"/>
        <v>310.50364</v>
      </c>
      <c r="G17" s="95">
        <f>SUM(G18:G41)</f>
        <v>0</v>
      </c>
      <c r="H17" s="95"/>
      <c r="I17" s="95">
        <f>SUM(I18:I41)</f>
        <v>293.931837</v>
      </c>
      <c r="J17" s="95"/>
      <c r="K17" s="95">
        <f>SUM(K18:K41)</f>
        <v>16.571803</v>
      </c>
      <c r="L17" s="29"/>
      <c r="M17" s="29"/>
    </row>
    <row r="18" s="5" customFormat="1" ht="53" customHeight="1" spans="1:13">
      <c r="A18" s="26">
        <v>1</v>
      </c>
      <c r="B18" s="22" t="s">
        <v>163</v>
      </c>
      <c r="C18" s="22" t="s">
        <v>164</v>
      </c>
      <c r="D18" s="91" t="s">
        <v>165</v>
      </c>
      <c r="E18" s="26">
        <v>217.815159</v>
      </c>
      <c r="F18" s="94">
        <f t="shared" ref="F18:F43" si="1">G18+I18+K18</f>
        <v>80</v>
      </c>
      <c r="G18" s="21">
        <v>0</v>
      </c>
      <c r="H18" s="21" t="s">
        <v>16</v>
      </c>
      <c r="I18" s="22">
        <v>80</v>
      </c>
      <c r="J18" s="22" t="s">
        <v>89</v>
      </c>
      <c r="K18" s="21">
        <v>0</v>
      </c>
      <c r="L18" s="29" t="s">
        <v>16</v>
      </c>
      <c r="M18" s="29"/>
    </row>
    <row r="19" s="5" customFormat="1" ht="43" customHeight="1" spans="1:13">
      <c r="A19" s="26">
        <v>2</v>
      </c>
      <c r="B19" s="22" t="s">
        <v>166</v>
      </c>
      <c r="C19" s="22" t="s">
        <v>167</v>
      </c>
      <c r="D19" s="91" t="s">
        <v>168</v>
      </c>
      <c r="E19" s="26">
        <v>151.553263</v>
      </c>
      <c r="F19" s="94">
        <f t="shared" si="1"/>
        <v>50</v>
      </c>
      <c r="G19" s="21">
        <v>0</v>
      </c>
      <c r="H19" s="21" t="s">
        <v>16</v>
      </c>
      <c r="I19" s="22">
        <v>50</v>
      </c>
      <c r="J19" s="22" t="s">
        <v>89</v>
      </c>
      <c r="K19" s="21">
        <v>0</v>
      </c>
      <c r="L19" s="29" t="s">
        <v>16</v>
      </c>
      <c r="M19" s="29"/>
    </row>
    <row r="20" s="5" customFormat="1" ht="53" customHeight="1" spans="1:13">
      <c r="A20" s="26">
        <v>3</v>
      </c>
      <c r="B20" s="22" t="s">
        <v>169</v>
      </c>
      <c r="C20" s="22" t="s">
        <v>170</v>
      </c>
      <c r="D20" s="91" t="s">
        <v>171</v>
      </c>
      <c r="E20" s="26">
        <v>65.643786</v>
      </c>
      <c r="F20" s="94">
        <f t="shared" si="1"/>
        <v>24</v>
      </c>
      <c r="G20" s="21">
        <v>0</v>
      </c>
      <c r="H20" s="21" t="s">
        <v>16</v>
      </c>
      <c r="I20" s="22">
        <v>24</v>
      </c>
      <c r="J20" s="22" t="s">
        <v>89</v>
      </c>
      <c r="K20" s="21">
        <v>0</v>
      </c>
      <c r="L20" s="29" t="s">
        <v>16</v>
      </c>
      <c r="M20" s="29"/>
    </row>
    <row r="21" s="5" customFormat="1" ht="43" customHeight="1" spans="1:13">
      <c r="A21" s="26">
        <v>4</v>
      </c>
      <c r="B21" s="22" t="s">
        <v>172</v>
      </c>
      <c r="C21" s="22" t="s">
        <v>173</v>
      </c>
      <c r="D21" s="91" t="s">
        <v>174</v>
      </c>
      <c r="E21" s="26">
        <v>137.08525</v>
      </c>
      <c r="F21" s="94">
        <f t="shared" si="1"/>
        <v>50</v>
      </c>
      <c r="G21" s="21">
        <v>0</v>
      </c>
      <c r="H21" s="21" t="s">
        <v>16</v>
      </c>
      <c r="I21" s="22">
        <v>50</v>
      </c>
      <c r="J21" s="22" t="s">
        <v>89</v>
      </c>
      <c r="K21" s="21">
        <v>0</v>
      </c>
      <c r="L21" s="29" t="s">
        <v>16</v>
      </c>
      <c r="M21" s="29"/>
    </row>
    <row r="22" s="5" customFormat="1" ht="51" customHeight="1" spans="1:13">
      <c r="A22" s="26">
        <v>5</v>
      </c>
      <c r="B22" s="22" t="s">
        <v>160</v>
      </c>
      <c r="C22" s="22" t="s">
        <v>175</v>
      </c>
      <c r="D22" s="91" t="s">
        <v>176</v>
      </c>
      <c r="E22" s="26">
        <v>74.297376</v>
      </c>
      <c r="F22" s="94">
        <f t="shared" si="1"/>
        <v>27</v>
      </c>
      <c r="G22" s="21">
        <v>0</v>
      </c>
      <c r="H22" s="21" t="s">
        <v>16</v>
      </c>
      <c r="I22" s="22">
        <v>27</v>
      </c>
      <c r="J22" s="22" t="s">
        <v>89</v>
      </c>
      <c r="K22" s="21">
        <v>0</v>
      </c>
      <c r="L22" s="29" t="s">
        <v>16</v>
      </c>
      <c r="M22" s="29"/>
    </row>
    <row r="23" s="5" customFormat="1" ht="43" customHeight="1" spans="1:13">
      <c r="A23" s="26">
        <v>6</v>
      </c>
      <c r="B23" s="22" t="s">
        <v>177</v>
      </c>
      <c r="C23" s="22" t="s">
        <v>178</v>
      </c>
      <c r="D23" s="91" t="s">
        <v>179</v>
      </c>
      <c r="E23" s="26">
        <v>39.855532</v>
      </c>
      <c r="F23" s="94">
        <f t="shared" si="1"/>
        <v>14</v>
      </c>
      <c r="G23" s="21">
        <v>0</v>
      </c>
      <c r="H23" s="21" t="s">
        <v>16</v>
      </c>
      <c r="I23" s="22">
        <v>14</v>
      </c>
      <c r="J23" s="22" t="s">
        <v>89</v>
      </c>
      <c r="K23" s="21">
        <v>0</v>
      </c>
      <c r="L23" s="29" t="s">
        <v>16</v>
      </c>
      <c r="M23" s="29"/>
    </row>
    <row r="24" s="5" customFormat="1" ht="43" customHeight="1" spans="1:13">
      <c r="A24" s="26">
        <v>7</v>
      </c>
      <c r="B24" s="22" t="s">
        <v>180</v>
      </c>
      <c r="C24" s="22" t="s">
        <v>181</v>
      </c>
      <c r="D24" s="91" t="s">
        <v>182</v>
      </c>
      <c r="E24" s="26">
        <v>62.21693</v>
      </c>
      <c r="F24" s="94">
        <f t="shared" si="1"/>
        <v>23</v>
      </c>
      <c r="G24" s="21">
        <v>0</v>
      </c>
      <c r="H24" s="21" t="s">
        <v>16</v>
      </c>
      <c r="I24" s="22">
        <v>23</v>
      </c>
      <c r="J24" s="22" t="s">
        <v>89</v>
      </c>
      <c r="K24" s="21">
        <v>0</v>
      </c>
      <c r="L24" s="29" t="s">
        <v>16</v>
      </c>
      <c r="M24" s="29"/>
    </row>
    <row r="25" s="5" customFormat="1" ht="50" customHeight="1" spans="1:13">
      <c r="A25" s="26">
        <v>8</v>
      </c>
      <c r="B25" s="22" t="s">
        <v>156</v>
      </c>
      <c r="C25" s="22" t="s">
        <v>183</v>
      </c>
      <c r="D25" s="91" t="s">
        <v>184</v>
      </c>
      <c r="E25" s="26">
        <v>65.705955</v>
      </c>
      <c r="F25" s="94">
        <f t="shared" si="1"/>
        <v>24</v>
      </c>
      <c r="G25" s="21">
        <v>0</v>
      </c>
      <c r="H25" s="21" t="s">
        <v>16</v>
      </c>
      <c r="I25" s="22">
        <v>24</v>
      </c>
      <c r="J25" s="22" t="s">
        <v>89</v>
      </c>
      <c r="K25" s="21">
        <v>0</v>
      </c>
      <c r="L25" s="29" t="s">
        <v>16</v>
      </c>
      <c r="M25" s="29"/>
    </row>
    <row r="26" s="5" customFormat="1" ht="68" customHeight="1" spans="1:13">
      <c r="A26" s="26">
        <v>9</v>
      </c>
      <c r="B26" s="22" t="s">
        <v>185</v>
      </c>
      <c r="C26" s="22" t="s">
        <v>186</v>
      </c>
      <c r="D26" s="146" t="s">
        <v>187</v>
      </c>
      <c r="E26" s="147">
        <v>16.78237</v>
      </c>
      <c r="F26" s="94">
        <f t="shared" si="1"/>
        <v>0.547394</v>
      </c>
      <c r="G26" s="21">
        <v>0</v>
      </c>
      <c r="H26" s="21" t="s">
        <v>16</v>
      </c>
      <c r="I26" s="21">
        <v>0.547394</v>
      </c>
      <c r="J26" s="22" t="s">
        <v>89</v>
      </c>
      <c r="K26" s="21">
        <v>0</v>
      </c>
      <c r="L26" s="29" t="s">
        <v>16</v>
      </c>
      <c r="M26" s="29"/>
    </row>
    <row r="27" s="5" customFormat="1" ht="53" customHeight="1" spans="1:13">
      <c r="A27" s="26">
        <v>10</v>
      </c>
      <c r="B27" s="22" t="s">
        <v>185</v>
      </c>
      <c r="C27" s="22" t="s">
        <v>188</v>
      </c>
      <c r="D27" s="146" t="s">
        <v>189</v>
      </c>
      <c r="E27" s="147">
        <v>9.902706</v>
      </c>
      <c r="F27" s="94">
        <f t="shared" si="1"/>
        <v>0.278946000000001</v>
      </c>
      <c r="G27" s="21">
        <v>0</v>
      </c>
      <c r="H27" s="21" t="s">
        <v>16</v>
      </c>
      <c r="I27" s="21">
        <v>0.278946000000001</v>
      </c>
      <c r="J27" s="22" t="s">
        <v>89</v>
      </c>
      <c r="K27" s="21">
        <v>0</v>
      </c>
      <c r="L27" s="29" t="s">
        <v>16</v>
      </c>
      <c r="M27" s="29"/>
    </row>
    <row r="28" s="5" customFormat="1" ht="53" customHeight="1" spans="1:13">
      <c r="A28" s="26">
        <v>11</v>
      </c>
      <c r="B28" s="22" t="s">
        <v>190</v>
      </c>
      <c r="C28" s="22" t="s">
        <v>191</v>
      </c>
      <c r="D28" s="148" t="s">
        <v>192</v>
      </c>
      <c r="E28" s="147">
        <v>14.896198</v>
      </c>
      <c r="F28" s="94">
        <f t="shared" si="1"/>
        <v>0.464576999999999</v>
      </c>
      <c r="G28" s="21">
        <v>0</v>
      </c>
      <c r="H28" s="21" t="s">
        <v>16</v>
      </c>
      <c r="I28" s="21">
        <v>0.464576999999999</v>
      </c>
      <c r="J28" s="22" t="s">
        <v>89</v>
      </c>
      <c r="K28" s="21">
        <v>0</v>
      </c>
      <c r="L28" s="29" t="s">
        <v>16</v>
      </c>
      <c r="M28" s="29"/>
    </row>
    <row r="29" s="5" customFormat="1" ht="53" customHeight="1" spans="1:13">
      <c r="A29" s="26">
        <v>12</v>
      </c>
      <c r="B29" s="22" t="s">
        <v>190</v>
      </c>
      <c r="C29" s="22" t="s">
        <v>193</v>
      </c>
      <c r="D29" s="148" t="s">
        <v>194</v>
      </c>
      <c r="E29" s="147">
        <v>14.534654</v>
      </c>
      <c r="F29" s="94">
        <f t="shared" si="1"/>
        <v>0.640920000000001</v>
      </c>
      <c r="G29" s="21">
        <v>0</v>
      </c>
      <c r="H29" s="21" t="s">
        <v>16</v>
      </c>
      <c r="I29" s="21">
        <v>0.640920000000001</v>
      </c>
      <c r="J29" s="22" t="s">
        <v>89</v>
      </c>
      <c r="K29" s="21">
        <v>0</v>
      </c>
      <c r="L29" s="29" t="s">
        <v>16</v>
      </c>
      <c r="M29" s="29"/>
    </row>
    <row r="30" s="89" customFormat="1" ht="54" customHeight="1" spans="1:13">
      <c r="A30" s="26">
        <v>13</v>
      </c>
      <c r="B30" s="22" t="s">
        <v>160</v>
      </c>
      <c r="C30" s="22" t="s">
        <v>195</v>
      </c>
      <c r="D30" s="28" t="s">
        <v>196</v>
      </c>
      <c r="E30" s="147">
        <v>19.962115</v>
      </c>
      <c r="F30" s="21">
        <f t="shared" si="1"/>
        <v>0.662115</v>
      </c>
      <c r="G30" s="21">
        <v>0</v>
      </c>
      <c r="H30" s="21" t="s">
        <v>16</v>
      </c>
      <c r="I30" s="21">
        <v>0</v>
      </c>
      <c r="J30" s="24" t="s">
        <v>16</v>
      </c>
      <c r="K30" s="26">
        <v>0.662115</v>
      </c>
      <c r="L30" s="22" t="s">
        <v>159</v>
      </c>
      <c r="M30" s="28"/>
    </row>
    <row r="31" s="89" customFormat="1" ht="66" customHeight="1" spans="1:13">
      <c r="A31" s="26">
        <v>14</v>
      </c>
      <c r="B31" s="22" t="s">
        <v>197</v>
      </c>
      <c r="C31" s="22" t="s">
        <v>198</v>
      </c>
      <c r="D31" s="28" t="s">
        <v>199</v>
      </c>
      <c r="E31" s="147">
        <v>67.40702</v>
      </c>
      <c r="F31" s="21">
        <f t="shared" si="1"/>
        <v>2.10702</v>
      </c>
      <c r="G31" s="21">
        <v>0</v>
      </c>
      <c r="H31" s="21" t="s">
        <v>16</v>
      </c>
      <c r="I31" s="21">
        <v>0</v>
      </c>
      <c r="J31" s="24" t="s">
        <v>16</v>
      </c>
      <c r="K31" s="26">
        <f>1.019394+1.087626</f>
        <v>2.10702</v>
      </c>
      <c r="L31" s="22" t="s">
        <v>159</v>
      </c>
      <c r="M31" s="28"/>
    </row>
    <row r="32" s="89" customFormat="1" ht="82" customHeight="1" spans="1:13">
      <c r="A32" s="26">
        <v>15</v>
      </c>
      <c r="B32" s="22" t="s">
        <v>166</v>
      </c>
      <c r="C32" s="22" t="s">
        <v>200</v>
      </c>
      <c r="D32" s="120" t="s">
        <v>201</v>
      </c>
      <c r="E32" s="147">
        <v>15.737546</v>
      </c>
      <c r="F32" s="21">
        <f t="shared" si="1"/>
        <v>0.537546</v>
      </c>
      <c r="G32" s="21">
        <v>0</v>
      </c>
      <c r="H32" s="21" t="s">
        <v>16</v>
      </c>
      <c r="I32" s="21">
        <v>0</v>
      </c>
      <c r="J32" s="24" t="s">
        <v>16</v>
      </c>
      <c r="K32" s="26">
        <v>0.537546</v>
      </c>
      <c r="L32" s="22" t="s">
        <v>159</v>
      </c>
      <c r="M32" s="28"/>
    </row>
    <row r="33" s="89" customFormat="1" ht="78" customHeight="1" spans="1:13">
      <c r="A33" s="26">
        <v>16</v>
      </c>
      <c r="B33" s="22" t="s">
        <v>166</v>
      </c>
      <c r="C33" s="22" t="s">
        <v>202</v>
      </c>
      <c r="D33" s="22" t="s">
        <v>203</v>
      </c>
      <c r="E33" s="147">
        <v>89.174907</v>
      </c>
      <c r="F33" s="21">
        <f t="shared" si="1"/>
        <v>2.774907</v>
      </c>
      <c r="G33" s="21">
        <v>0</v>
      </c>
      <c r="H33" s="21" t="s">
        <v>16</v>
      </c>
      <c r="I33" s="21">
        <v>0</v>
      </c>
      <c r="J33" s="24" t="s">
        <v>16</v>
      </c>
      <c r="K33" s="26">
        <v>2.774907</v>
      </c>
      <c r="L33" s="22" t="s">
        <v>159</v>
      </c>
      <c r="M33" s="28"/>
    </row>
    <row r="34" s="89" customFormat="1" ht="70" customHeight="1" spans="1:13">
      <c r="A34" s="26">
        <v>17</v>
      </c>
      <c r="B34" s="22" t="s">
        <v>172</v>
      </c>
      <c r="C34" s="22" t="s">
        <v>204</v>
      </c>
      <c r="D34" s="146" t="s">
        <v>205</v>
      </c>
      <c r="E34" s="147">
        <v>28.068835</v>
      </c>
      <c r="F34" s="21">
        <f t="shared" si="1"/>
        <v>0.868835</v>
      </c>
      <c r="G34" s="21">
        <v>0</v>
      </c>
      <c r="H34" s="21" t="s">
        <v>16</v>
      </c>
      <c r="I34" s="21">
        <v>0</v>
      </c>
      <c r="J34" s="24" t="s">
        <v>16</v>
      </c>
      <c r="K34" s="26">
        <v>0.868835</v>
      </c>
      <c r="L34" s="22" t="s">
        <v>159</v>
      </c>
      <c r="M34" s="28"/>
    </row>
    <row r="35" s="89" customFormat="1" ht="48" customHeight="1" spans="1:13">
      <c r="A35" s="26">
        <v>18</v>
      </c>
      <c r="B35" s="22" t="s">
        <v>177</v>
      </c>
      <c r="C35" s="22" t="s">
        <v>206</v>
      </c>
      <c r="D35" s="120" t="s">
        <v>207</v>
      </c>
      <c r="E35" s="147">
        <v>38.881264</v>
      </c>
      <c r="F35" s="21">
        <f t="shared" si="1"/>
        <v>1.281264</v>
      </c>
      <c r="G35" s="21">
        <v>0</v>
      </c>
      <c r="H35" s="21" t="s">
        <v>16</v>
      </c>
      <c r="I35" s="21">
        <v>0</v>
      </c>
      <c r="J35" s="24" t="s">
        <v>16</v>
      </c>
      <c r="K35" s="26">
        <v>1.281264</v>
      </c>
      <c r="L35" s="22" t="s">
        <v>159</v>
      </c>
      <c r="M35" s="28"/>
    </row>
    <row r="36" s="89" customFormat="1" ht="46" customHeight="1" spans="1:13">
      <c r="A36" s="26">
        <v>19</v>
      </c>
      <c r="B36" s="22" t="s">
        <v>166</v>
      </c>
      <c r="C36" s="22" t="s">
        <v>208</v>
      </c>
      <c r="D36" s="120" t="s">
        <v>209</v>
      </c>
      <c r="E36" s="147">
        <v>65.810545</v>
      </c>
      <c r="F36" s="21">
        <f t="shared" si="1"/>
        <v>2.010545</v>
      </c>
      <c r="G36" s="21">
        <v>0</v>
      </c>
      <c r="H36" s="21" t="s">
        <v>16</v>
      </c>
      <c r="I36" s="21">
        <v>0</v>
      </c>
      <c r="J36" s="24" t="s">
        <v>16</v>
      </c>
      <c r="K36" s="26">
        <v>2.010545</v>
      </c>
      <c r="L36" s="22" t="s">
        <v>159</v>
      </c>
      <c r="M36" s="28"/>
    </row>
    <row r="37" s="89" customFormat="1" ht="46" customHeight="1" spans="1:13">
      <c r="A37" s="26">
        <v>20</v>
      </c>
      <c r="B37" s="22" t="s">
        <v>153</v>
      </c>
      <c r="C37" s="22" t="s">
        <v>210</v>
      </c>
      <c r="D37" s="146" t="s">
        <v>211</v>
      </c>
      <c r="E37" s="147">
        <v>18.350318</v>
      </c>
      <c r="F37" s="21">
        <f t="shared" si="1"/>
        <v>0.560318</v>
      </c>
      <c r="G37" s="21">
        <v>0</v>
      </c>
      <c r="H37" s="21" t="s">
        <v>16</v>
      </c>
      <c r="I37" s="21">
        <v>0</v>
      </c>
      <c r="J37" s="24" t="s">
        <v>16</v>
      </c>
      <c r="K37" s="26">
        <v>0.560318</v>
      </c>
      <c r="L37" s="22" t="s">
        <v>159</v>
      </c>
      <c r="M37" s="28"/>
    </row>
    <row r="38" s="89" customFormat="1" ht="64" customHeight="1" spans="1:13">
      <c r="A38" s="26">
        <v>21</v>
      </c>
      <c r="B38" s="22" t="s">
        <v>166</v>
      </c>
      <c r="C38" s="22" t="s">
        <v>212</v>
      </c>
      <c r="D38" s="120" t="s">
        <v>213</v>
      </c>
      <c r="E38" s="147">
        <v>67.628546</v>
      </c>
      <c r="F38" s="21">
        <f t="shared" si="1"/>
        <v>2.128546</v>
      </c>
      <c r="G38" s="21">
        <v>0</v>
      </c>
      <c r="H38" s="21" t="s">
        <v>16</v>
      </c>
      <c r="I38" s="21">
        <v>0</v>
      </c>
      <c r="J38" s="24" t="s">
        <v>16</v>
      </c>
      <c r="K38" s="26">
        <v>2.128546</v>
      </c>
      <c r="L38" s="22" t="s">
        <v>159</v>
      </c>
      <c r="M38" s="28"/>
    </row>
    <row r="39" s="89" customFormat="1" ht="45" customHeight="1" spans="1:13">
      <c r="A39" s="26">
        <v>22</v>
      </c>
      <c r="B39" s="22" t="s">
        <v>153</v>
      </c>
      <c r="C39" s="22" t="s">
        <v>214</v>
      </c>
      <c r="D39" s="146" t="s">
        <v>215</v>
      </c>
      <c r="E39" s="147">
        <v>59.897252</v>
      </c>
      <c r="F39" s="21">
        <f t="shared" si="1"/>
        <v>1.897252</v>
      </c>
      <c r="G39" s="21">
        <v>0</v>
      </c>
      <c r="H39" s="21" t="s">
        <v>16</v>
      </c>
      <c r="I39" s="21">
        <v>0</v>
      </c>
      <c r="J39" s="24" t="s">
        <v>16</v>
      </c>
      <c r="K39" s="26">
        <f>0.575192+1.32206</f>
        <v>1.897252</v>
      </c>
      <c r="L39" s="22" t="s">
        <v>159</v>
      </c>
      <c r="M39" s="28"/>
    </row>
    <row r="40" s="89" customFormat="1" ht="61" customHeight="1" spans="1:13">
      <c r="A40" s="26">
        <v>23</v>
      </c>
      <c r="B40" s="22" t="s">
        <v>160</v>
      </c>
      <c r="C40" s="22" t="s">
        <v>216</v>
      </c>
      <c r="D40" s="146" t="s">
        <v>217</v>
      </c>
      <c r="E40" s="147">
        <v>31.250245</v>
      </c>
      <c r="F40" s="21">
        <f t="shared" si="1"/>
        <v>0.950245</v>
      </c>
      <c r="G40" s="21">
        <v>0</v>
      </c>
      <c r="H40" s="21" t="s">
        <v>16</v>
      </c>
      <c r="I40" s="21">
        <v>0</v>
      </c>
      <c r="J40" s="24" t="s">
        <v>16</v>
      </c>
      <c r="K40" s="24">
        <v>0.950245</v>
      </c>
      <c r="L40" s="22" t="s">
        <v>159</v>
      </c>
      <c r="M40" s="28"/>
    </row>
    <row r="41" s="89" customFormat="1" ht="61" customHeight="1" spans="1:13">
      <c r="A41" s="26">
        <v>24</v>
      </c>
      <c r="B41" s="22" t="s">
        <v>197</v>
      </c>
      <c r="C41" s="22" t="s">
        <v>218</v>
      </c>
      <c r="D41" s="146" t="s">
        <v>219</v>
      </c>
      <c r="E41" s="147">
        <v>23.29321</v>
      </c>
      <c r="F41" s="21">
        <f t="shared" si="1"/>
        <v>0.79321</v>
      </c>
      <c r="G41" s="21">
        <v>0</v>
      </c>
      <c r="H41" s="21" t="s">
        <v>16</v>
      </c>
      <c r="I41" s="21">
        <v>0</v>
      </c>
      <c r="J41" s="24" t="s">
        <v>16</v>
      </c>
      <c r="K41" s="26">
        <v>0.79321</v>
      </c>
      <c r="L41" s="22" t="s">
        <v>159</v>
      </c>
      <c r="M41" s="28"/>
    </row>
    <row r="42" s="7" customFormat="1" ht="32" customHeight="1" spans="1:13">
      <c r="A42" s="20" t="s">
        <v>54</v>
      </c>
      <c r="B42" s="20"/>
      <c r="C42" s="20"/>
      <c r="D42" s="20" t="s">
        <v>80</v>
      </c>
      <c r="E42" s="20">
        <f>E43</f>
        <v>56.543706</v>
      </c>
      <c r="F42" s="29">
        <f t="shared" si="1"/>
        <v>56.543706</v>
      </c>
      <c r="G42" s="20">
        <f>G43</f>
        <v>0</v>
      </c>
      <c r="H42" s="20"/>
      <c r="I42" s="20">
        <f>I43</f>
        <v>0</v>
      </c>
      <c r="J42" s="20"/>
      <c r="K42" s="20">
        <f>K43</f>
        <v>56.543706</v>
      </c>
      <c r="L42" s="20"/>
      <c r="M42" s="20"/>
    </row>
    <row r="43" s="4" customFormat="1" ht="37" customHeight="1" spans="1:13">
      <c r="A43" s="26">
        <v>1</v>
      </c>
      <c r="B43" s="27" t="s">
        <v>220</v>
      </c>
      <c r="C43" s="28" t="s">
        <v>54</v>
      </c>
      <c r="D43" s="26" t="s">
        <v>16</v>
      </c>
      <c r="E43" s="26">
        <v>56.543706</v>
      </c>
      <c r="F43" s="21">
        <f t="shared" si="1"/>
        <v>56.543706</v>
      </c>
      <c r="G43" s="21">
        <v>0</v>
      </c>
      <c r="H43" s="21" t="s">
        <v>16</v>
      </c>
      <c r="I43" s="21">
        <v>0</v>
      </c>
      <c r="J43" s="21" t="s">
        <v>16</v>
      </c>
      <c r="K43" s="26">
        <v>56.543706</v>
      </c>
      <c r="L43" s="24" t="s">
        <v>113</v>
      </c>
      <c r="M43" s="26"/>
    </row>
    <row r="44" s="6" customFormat="1" customHeight="1"/>
    <row r="45" s="6" customFormat="1" customHeight="1"/>
    <row r="46" s="6" customFormat="1" customHeight="1"/>
  </sheetData>
  <mergeCells count="16">
    <mergeCell ref="A1:C1"/>
    <mergeCell ref="A2:M2"/>
    <mergeCell ref="A3:M3"/>
    <mergeCell ref="F4:L4"/>
    <mergeCell ref="B6:C6"/>
    <mergeCell ref="A7:C7"/>
    <mergeCell ref="A10:C10"/>
    <mergeCell ref="A13:C13"/>
    <mergeCell ref="A17:C17"/>
    <mergeCell ref="A42:C42"/>
    <mergeCell ref="A4:A5"/>
    <mergeCell ref="B4:B5"/>
    <mergeCell ref="C4:C5"/>
    <mergeCell ref="D4:D5"/>
    <mergeCell ref="E4:E5"/>
    <mergeCell ref="M4:M5"/>
  </mergeCells>
  <pageMargins left="0.236111111111111" right="0.118055555555556" top="0.550694444444444" bottom="0.236111111111111" header="0.5" footer="0.156944444444444"/>
  <pageSetup paperSize="9" scale="59" fitToHeight="0" orientation="portrait" horizontalDpi="600"/>
  <headerFooter/>
  <ignoredErrors>
    <ignoredError sqref="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view="pageBreakPreview" zoomScale="80" zoomScaleNormal="85" workbookViewId="0">
      <pane ySplit="6" topLeftCell="A7" activePane="bottomLeft" state="frozen"/>
      <selection/>
      <selection pane="bottomLeft" activeCell="F6" sqref="F6"/>
    </sheetView>
  </sheetViews>
  <sheetFormatPr defaultColWidth="9" defaultRowHeight="15.6"/>
  <cols>
    <col min="1" max="1" width="4.12962962962963" style="8" customWidth="1"/>
    <col min="2" max="2" width="13.0185185185185" style="8" customWidth="1"/>
    <col min="3" max="3" width="14.4444444444444" style="8" customWidth="1"/>
    <col min="4" max="4" width="20.2777777777778" style="8" customWidth="1"/>
    <col min="5" max="5" width="12.8518518518519" style="8" customWidth="1"/>
    <col min="6" max="6" width="12.6296296296296" style="8"/>
    <col min="7" max="7" width="11.1111111111111" style="8" customWidth="1"/>
    <col min="8" max="8" width="12.7962962962963" style="8" customWidth="1"/>
    <col min="9" max="9" width="11.1111111111111" style="8" customWidth="1"/>
    <col min="10" max="10" width="14.8425925925926" style="8" customWidth="1"/>
    <col min="11" max="11" width="11.1111111111111" style="8" customWidth="1"/>
    <col min="12" max="12" width="13.4351851851852" style="8" customWidth="1"/>
    <col min="13" max="13" width="17.0277777777778" style="8" customWidth="1"/>
    <col min="14" max="16384" width="9" style="8"/>
  </cols>
  <sheetData>
    <row r="1" s="8" customFormat="1" ht="23" customHeight="1" spans="1:10">
      <c r="A1" s="86" t="s">
        <v>221</v>
      </c>
      <c r="B1" s="86"/>
      <c r="F1" s="10"/>
      <c r="H1" s="6"/>
      <c r="J1" s="6"/>
    </row>
    <row r="2" s="143" customFormat="1" ht="42" customHeight="1" spans="1:13">
      <c r="A2" s="117" t="s">
        <v>222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="8" customFormat="1" ht="30" customHeight="1" spans="1:13">
      <c r="A3" s="14" t="s">
        <v>75</v>
      </c>
      <c r="B3" s="14"/>
      <c r="C3" s="14"/>
      <c r="D3" s="14"/>
      <c r="E3" s="14"/>
      <c r="F3" s="14"/>
      <c r="G3" s="14"/>
      <c r="H3" s="128"/>
      <c r="I3" s="14"/>
      <c r="J3" s="128"/>
      <c r="K3" s="14"/>
      <c r="L3" s="14"/>
      <c r="M3" s="14"/>
    </row>
    <row r="4" s="89" customFormat="1" ht="34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89" customFormat="1" ht="34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7" customFormat="1" ht="38" customHeight="1" spans="1:13">
      <c r="A6" s="19">
        <f>A9+A12+A14+A16+A18</f>
        <v>7</v>
      </c>
      <c r="B6" s="106" t="s">
        <v>81</v>
      </c>
      <c r="C6" s="106"/>
      <c r="D6" s="19"/>
      <c r="E6" s="19">
        <f>E10+E13+E15+E17</f>
        <v>1050.180202</v>
      </c>
      <c r="F6" s="20">
        <f t="shared" ref="F6:F9" si="0">G6+I6+K6</f>
        <v>1352.195954</v>
      </c>
      <c r="G6" s="20">
        <f>G7+G10+G13+G15+G17</f>
        <v>295.05471</v>
      </c>
      <c r="H6" s="20"/>
      <c r="I6" s="20">
        <f>I7+I10+I13+I15+I17</f>
        <v>891.29626</v>
      </c>
      <c r="J6" s="20"/>
      <c r="K6" s="20">
        <f>K7+K10+K13+K15+K17</f>
        <v>165.844984</v>
      </c>
      <c r="L6" s="20"/>
      <c r="M6" s="20"/>
    </row>
    <row r="7" s="7" customFormat="1" ht="35" customHeight="1" spans="1:13">
      <c r="A7" s="20" t="s">
        <v>82</v>
      </c>
      <c r="B7" s="20"/>
      <c r="C7" s="20"/>
      <c r="D7" s="34" t="s">
        <v>80</v>
      </c>
      <c r="E7" s="20">
        <f>SUM(E8:E9)</f>
        <v>833.770555</v>
      </c>
      <c r="F7" s="20">
        <f t="shared" si="0"/>
        <v>833.770555</v>
      </c>
      <c r="G7" s="20">
        <f>G8+G9</f>
        <v>11.33801</v>
      </c>
      <c r="H7" s="20"/>
      <c r="I7" s="20">
        <f>I8+I9</f>
        <v>707.587561</v>
      </c>
      <c r="J7" s="20"/>
      <c r="K7" s="20">
        <f>K8+K9</f>
        <v>114.844984</v>
      </c>
      <c r="L7" s="20"/>
      <c r="M7" s="20"/>
    </row>
    <row r="8" s="7" customFormat="1" ht="83" customHeight="1" spans="1:13">
      <c r="A8" s="26">
        <v>1</v>
      </c>
      <c r="B8" s="25" t="s">
        <v>223</v>
      </c>
      <c r="C8" s="25" t="s">
        <v>224</v>
      </c>
      <c r="D8" s="25" t="s">
        <v>225</v>
      </c>
      <c r="E8" s="21">
        <v>832.432545</v>
      </c>
      <c r="F8" s="26">
        <f t="shared" si="0"/>
        <v>832.432545</v>
      </c>
      <c r="G8" s="22">
        <v>10</v>
      </c>
      <c r="H8" s="22" t="s">
        <v>63</v>
      </c>
      <c r="I8" s="21">
        <f>490+166.992075+50.595486</f>
        <v>707.587561</v>
      </c>
      <c r="J8" s="22" t="s">
        <v>226</v>
      </c>
      <c r="K8" s="21">
        <v>114.844984</v>
      </c>
      <c r="L8" s="24" t="s">
        <v>113</v>
      </c>
      <c r="M8" s="110"/>
    </row>
    <row r="9" s="7" customFormat="1" ht="38" customHeight="1" spans="1:13">
      <c r="A9" s="26">
        <v>2</v>
      </c>
      <c r="B9" s="25" t="s">
        <v>227</v>
      </c>
      <c r="C9" s="144" t="s">
        <v>228</v>
      </c>
      <c r="D9" s="25" t="s">
        <v>229</v>
      </c>
      <c r="E9" s="25">
        <v>1.33801</v>
      </c>
      <c r="F9" s="26">
        <f t="shared" si="0"/>
        <v>1.33801</v>
      </c>
      <c r="G9" s="26">
        <v>1.33801</v>
      </c>
      <c r="H9" s="22" t="s">
        <v>63</v>
      </c>
      <c r="I9" s="26">
        <v>0</v>
      </c>
      <c r="J9" s="26" t="s">
        <v>16</v>
      </c>
      <c r="K9" s="26">
        <v>0</v>
      </c>
      <c r="L9" s="20" t="s">
        <v>16</v>
      </c>
      <c r="M9" s="22"/>
    </row>
    <row r="10" s="7" customFormat="1" ht="36" customHeight="1" spans="1:13">
      <c r="A10" s="20" t="s">
        <v>98</v>
      </c>
      <c r="B10" s="20"/>
      <c r="C10" s="20"/>
      <c r="D10" s="20" t="s">
        <v>80</v>
      </c>
      <c r="E10" s="29">
        <f>E11+E12</f>
        <v>65.2167</v>
      </c>
      <c r="F10" s="20">
        <f t="shared" ref="F10:F18" si="1">G10+I10+K10</f>
        <v>65.2167</v>
      </c>
      <c r="G10" s="20">
        <f>G11+G12</f>
        <v>61.7167</v>
      </c>
      <c r="H10" s="20"/>
      <c r="I10" s="20">
        <f>I11+I12</f>
        <v>3.5</v>
      </c>
      <c r="J10" s="20"/>
      <c r="K10" s="20">
        <f>K11+K12</f>
        <v>0</v>
      </c>
      <c r="L10" s="20"/>
      <c r="M10" s="20"/>
    </row>
    <row r="11" s="4" customFormat="1" ht="42" customHeight="1" spans="1:13">
      <c r="A11" s="26">
        <v>1</v>
      </c>
      <c r="B11" s="26" t="s">
        <v>227</v>
      </c>
      <c r="C11" s="26" t="s">
        <v>100</v>
      </c>
      <c r="D11" s="26" t="s">
        <v>230</v>
      </c>
      <c r="E11" s="96">
        <v>7.9167</v>
      </c>
      <c r="F11" s="26">
        <f t="shared" si="1"/>
        <v>7.9167</v>
      </c>
      <c r="G11" s="96">
        <v>7.9167</v>
      </c>
      <c r="H11" s="22" t="s">
        <v>63</v>
      </c>
      <c r="I11" s="26">
        <v>0</v>
      </c>
      <c r="J11" s="26" t="s">
        <v>16</v>
      </c>
      <c r="K11" s="26">
        <v>0</v>
      </c>
      <c r="L11" s="26" t="s">
        <v>16</v>
      </c>
      <c r="M11" s="26"/>
    </row>
    <row r="12" s="4" customFormat="1" ht="62" customHeight="1" spans="1:13">
      <c r="A12" s="26">
        <v>2</v>
      </c>
      <c r="B12" s="26" t="s">
        <v>227</v>
      </c>
      <c r="C12" s="26" t="s">
        <v>102</v>
      </c>
      <c r="D12" s="26" t="s">
        <v>231</v>
      </c>
      <c r="E12" s="96">
        <v>57.3</v>
      </c>
      <c r="F12" s="26">
        <f t="shared" si="1"/>
        <v>57.3</v>
      </c>
      <c r="G12" s="26">
        <v>53.8</v>
      </c>
      <c r="H12" s="22" t="s">
        <v>63</v>
      </c>
      <c r="I12" s="30">
        <v>3.5</v>
      </c>
      <c r="J12" s="22" t="s">
        <v>232</v>
      </c>
      <c r="K12" s="26">
        <v>0</v>
      </c>
      <c r="L12" s="26" t="s">
        <v>16</v>
      </c>
      <c r="M12" s="26"/>
    </row>
    <row r="13" s="7" customFormat="1" ht="37" customHeight="1" spans="1:13">
      <c r="A13" s="20" t="s">
        <v>105</v>
      </c>
      <c r="B13" s="20"/>
      <c r="C13" s="20"/>
      <c r="D13" s="20" t="s">
        <v>80</v>
      </c>
      <c r="E13" s="20">
        <f>SUM(E14:E14)</f>
        <v>358.993502</v>
      </c>
      <c r="F13" s="20">
        <f t="shared" si="1"/>
        <v>287.194802</v>
      </c>
      <c r="G13" s="20">
        <f>G14</f>
        <v>222</v>
      </c>
      <c r="H13" s="20"/>
      <c r="I13" s="20">
        <f>I14</f>
        <v>65.194802</v>
      </c>
      <c r="J13" s="20"/>
      <c r="K13" s="20">
        <f>K14</f>
        <v>0</v>
      </c>
      <c r="L13" s="20"/>
      <c r="M13" s="20"/>
    </row>
    <row r="14" s="4" customFormat="1" ht="121" customHeight="1" spans="1:13">
      <c r="A14" s="26">
        <v>1</v>
      </c>
      <c r="B14" s="26" t="s">
        <v>227</v>
      </c>
      <c r="C14" s="26" t="s">
        <v>233</v>
      </c>
      <c r="D14" s="26" t="s">
        <v>234</v>
      </c>
      <c r="E14" s="38">
        <v>358.993502</v>
      </c>
      <c r="F14" s="26">
        <f t="shared" si="1"/>
        <v>287.194802</v>
      </c>
      <c r="G14" s="26">
        <v>222</v>
      </c>
      <c r="H14" s="22" t="s">
        <v>63</v>
      </c>
      <c r="I14" s="22">
        <v>65.194802</v>
      </c>
      <c r="J14" s="22" t="s">
        <v>235</v>
      </c>
      <c r="K14" s="26">
        <v>0</v>
      </c>
      <c r="L14" s="26" t="s">
        <v>16</v>
      </c>
      <c r="M14" s="26"/>
    </row>
    <row r="15" s="5" customFormat="1" ht="36" customHeight="1" spans="1:13">
      <c r="A15" s="19" t="s">
        <v>124</v>
      </c>
      <c r="B15" s="19"/>
      <c r="C15" s="19"/>
      <c r="D15" s="19" t="s">
        <v>10</v>
      </c>
      <c r="E15" s="20">
        <f>SUM(E16:E16)</f>
        <v>574.97</v>
      </c>
      <c r="F15" s="20">
        <f t="shared" si="1"/>
        <v>115.013897</v>
      </c>
      <c r="G15" s="29">
        <f>G16</f>
        <v>0</v>
      </c>
      <c r="H15" s="29"/>
      <c r="I15" s="29">
        <f>I16</f>
        <v>115.013897</v>
      </c>
      <c r="J15" s="29"/>
      <c r="K15" s="29">
        <f>K16</f>
        <v>0</v>
      </c>
      <c r="L15" s="20" t="s">
        <v>16</v>
      </c>
      <c r="M15" s="29"/>
    </row>
    <row r="16" s="6" customFormat="1" ht="65" customHeight="1" spans="1:13">
      <c r="A16" s="28">
        <v>1</v>
      </c>
      <c r="B16" s="28" t="s">
        <v>223</v>
      </c>
      <c r="C16" s="28" t="s">
        <v>236</v>
      </c>
      <c r="D16" s="28" t="s">
        <v>237</v>
      </c>
      <c r="E16" s="38">
        <v>574.97</v>
      </c>
      <c r="F16" s="26">
        <f t="shared" si="1"/>
        <v>115.013897</v>
      </c>
      <c r="G16" s="21">
        <v>0</v>
      </c>
      <c r="H16" s="21" t="s">
        <v>16</v>
      </c>
      <c r="I16" s="21">
        <f>94.16+20.853897</f>
        <v>115.013897</v>
      </c>
      <c r="J16" s="22" t="s">
        <v>89</v>
      </c>
      <c r="K16" s="21">
        <v>0</v>
      </c>
      <c r="L16" s="21" t="s">
        <v>16</v>
      </c>
      <c r="M16" s="21"/>
    </row>
    <row r="17" s="7" customFormat="1" ht="36" customHeight="1" spans="1:13">
      <c r="A17" s="20" t="s">
        <v>54</v>
      </c>
      <c r="B17" s="20"/>
      <c r="C17" s="20"/>
      <c r="D17" s="19" t="s">
        <v>10</v>
      </c>
      <c r="E17" s="20">
        <f>E18</f>
        <v>51</v>
      </c>
      <c r="F17" s="20">
        <f t="shared" si="1"/>
        <v>51</v>
      </c>
      <c r="G17" s="20">
        <f>G18</f>
        <v>0</v>
      </c>
      <c r="H17" s="20"/>
      <c r="I17" s="20">
        <f>I18</f>
        <v>0</v>
      </c>
      <c r="J17" s="20"/>
      <c r="K17" s="20">
        <f>K18</f>
        <v>51</v>
      </c>
      <c r="L17" s="20"/>
      <c r="M17" s="20"/>
    </row>
    <row r="18" s="4" customFormat="1" ht="57" customHeight="1" spans="1:13">
      <c r="A18" s="26">
        <v>1</v>
      </c>
      <c r="B18" s="27" t="s">
        <v>227</v>
      </c>
      <c r="C18" s="145" t="s">
        <v>54</v>
      </c>
      <c r="D18" s="26" t="s">
        <v>16</v>
      </c>
      <c r="E18" s="26">
        <v>51</v>
      </c>
      <c r="F18" s="26">
        <f t="shared" si="1"/>
        <v>51</v>
      </c>
      <c r="G18" s="26">
        <v>0</v>
      </c>
      <c r="H18" s="21" t="s">
        <v>16</v>
      </c>
      <c r="I18" s="26">
        <v>0</v>
      </c>
      <c r="J18" s="21" t="s">
        <v>16</v>
      </c>
      <c r="K18" s="26">
        <v>51</v>
      </c>
      <c r="L18" s="24" t="s">
        <v>113</v>
      </c>
      <c r="M18" s="26"/>
    </row>
    <row r="19" s="6" customFormat="1" ht="12"/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5:C15"/>
    <mergeCell ref="A17:C17"/>
    <mergeCell ref="A4:A5"/>
    <mergeCell ref="B4:B5"/>
    <mergeCell ref="C4:C5"/>
    <mergeCell ref="D4:D5"/>
    <mergeCell ref="E4:E5"/>
    <mergeCell ref="M4:M5"/>
  </mergeCells>
  <pageMargins left="0.432638888888889" right="0.0784722222222222" top="0.472222222222222" bottom="0.708333333333333" header="0.5" footer="0.5"/>
  <pageSetup paperSize="9" scale="59" fitToHeight="0" orientation="portrait" horizontalDpi="600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view="pageBreakPreview" zoomScale="70" zoomScaleNormal="70" workbookViewId="0">
      <pane ySplit="6" topLeftCell="A7" activePane="bottomLeft" state="frozen"/>
      <selection/>
      <selection pane="bottomLeft" activeCell="F6" sqref="F6"/>
    </sheetView>
  </sheetViews>
  <sheetFormatPr defaultColWidth="9" defaultRowHeight="15.6"/>
  <cols>
    <col min="1" max="1" width="5" style="8" customWidth="1"/>
    <col min="2" max="2" width="13.5277777777778" style="8" customWidth="1"/>
    <col min="3" max="3" width="19.0277777777778" style="8" customWidth="1"/>
    <col min="4" max="4" width="23.7407407407407" style="8" customWidth="1"/>
    <col min="5" max="5" width="12.9166666666667" style="8" customWidth="1"/>
    <col min="6" max="6" width="10.9814814814815" style="8" customWidth="1"/>
    <col min="7" max="7" width="11.7962962962963" style="8" customWidth="1"/>
    <col min="8" max="8" width="11.537037037037" style="8" customWidth="1"/>
    <col min="9" max="9" width="13.3240740740741" style="8" customWidth="1"/>
    <col min="10" max="10" width="12.3796296296296" style="8" customWidth="1"/>
    <col min="11" max="11" width="11.1111111111111" style="8" customWidth="1"/>
    <col min="12" max="12" width="13.0555555555556" style="8" customWidth="1"/>
    <col min="13" max="13" width="9.58333333333333" style="8" customWidth="1"/>
    <col min="14" max="14" width="15.2314814814815" style="8" customWidth="1"/>
    <col min="15" max="15" width="11.7777777777778" style="8"/>
    <col min="16" max="16" width="9.37962962962963" style="8"/>
    <col min="17" max="16384" width="9" style="8"/>
  </cols>
  <sheetData>
    <row r="1" ht="28" customHeight="1" spans="1:2">
      <c r="A1" s="86" t="s">
        <v>238</v>
      </c>
      <c r="B1" s="86"/>
    </row>
    <row r="2" s="137" customFormat="1" ht="36" customHeight="1" spans="1:13">
      <c r="A2" s="11" t="s">
        <v>239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</row>
    <row r="3" s="8" customFormat="1" ht="33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89" customFormat="1" ht="33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89" customFormat="1" ht="33" customHeight="1" spans="1:13">
      <c r="A5" s="15"/>
      <c r="B5" s="15"/>
      <c r="C5" s="15"/>
      <c r="D5" s="15"/>
      <c r="E5" s="19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5" customFormat="1" ht="27" customHeight="1" spans="1:13">
      <c r="A6" s="130">
        <f>A8+A11+A17+A27+A29</f>
        <v>18</v>
      </c>
      <c r="B6" s="130" t="s">
        <v>81</v>
      </c>
      <c r="C6" s="138"/>
      <c r="D6" s="106"/>
      <c r="E6" s="106">
        <f>E7+E9+E12+E18+E28</f>
        <v>2449.250998</v>
      </c>
      <c r="F6" s="29">
        <f t="shared" ref="F6:F8" si="0">G6+I6+K6</f>
        <v>1599.844181</v>
      </c>
      <c r="G6" s="29">
        <f>G7+G9+G12+G18+G28</f>
        <v>1034.889259</v>
      </c>
      <c r="H6" s="29"/>
      <c r="I6" s="29">
        <f>I7+I9+I12+I18+I28</f>
        <v>323.359595</v>
      </c>
      <c r="J6" s="29"/>
      <c r="K6" s="29">
        <f>K7+K9+K12+K18+K28</f>
        <v>241.595327</v>
      </c>
      <c r="L6" s="29"/>
      <c r="M6" s="29"/>
    </row>
    <row r="7" s="7" customFormat="1" ht="30" customHeight="1" spans="1:13">
      <c r="A7" s="33" t="s">
        <v>82</v>
      </c>
      <c r="B7" s="34"/>
      <c r="C7" s="35"/>
      <c r="D7" s="20" t="s">
        <v>80</v>
      </c>
      <c r="E7" s="20">
        <f>SUM(E8:E8)</f>
        <v>707</v>
      </c>
      <c r="F7" s="20">
        <f t="shared" ref="F7:K7" si="1">SUM(F8:F8)</f>
        <v>707</v>
      </c>
      <c r="G7" s="20">
        <f t="shared" si="1"/>
        <v>707</v>
      </c>
      <c r="H7" s="20"/>
      <c r="I7" s="20">
        <f t="shared" si="1"/>
        <v>0</v>
      </c>
      <c r="J7" s="20"/>
      <c r="K7" s="20">
        <f t="shared" si="1"/>
        <v>0</v>
      </c>
      <c r="L7" s="20"/>
      <c r="M7" s="20"/>
    </row>
    <row r="8" s="7" customFormat="1" ht="65" customHeight="1" spans="1:13">
      <c r="A8" s="92">
        <v>1</v>
      </c>
      <c r="B8" s="22" t="s">
        <v>240</v>
      </c>
      <c r="C8" s="22" t="s">
        <v>241</v>
      </c>
      <c r="D8" s="22" t="s">
        <v>242</v>
      </c>
      <c r="E8" s="22">
        <v>707</v>
      </c>
      <c r="F8" s="26">
        <f t="shared" si="0"/>
        <v>707</v>
      </c>
      <c r="G8" s="22">
        <v>707</v>
      </c>
      <c r="H8" s="22" t="s">
        <v>243</v>
      </c>
      <c r="I8" s="21">
        <v>0</v>
      </c>
      <c r="J8" s="21" t="s">
        <v>16</v>
      </c>
      <c r="K8" s="21">
        <v>0</v>
      </c>
      <c r="L8" s="21" t="s">
        <v>16</v>
      </c>
      <c r="M8" s="110"/>
    </row>
    <row r="9" s="7" customFormat="1" ht="30" customHeight="1" spans="1:13">
      <c r="A9" s="33" t="s">
        <v>98</v>
      </c>
      <c r="B9" s="34"/>
      <c r="C9" s="35"/>
      <c r="D9" s="20" t="s">
        <v>80</v>
      </c>
      <c r="E9" s="29">
        <f>E10+E11</f>
        <v>39.7</v>
      </c>
      <c r="F9" s="29">
        <f t="shared" ref="F9:F23" si="2">G9+I9+K9</f>
        <v>39.7</v>
      </c>
      <c r="G9" s="20">
        <f>G10+G11</f>
        <v>39.7</v>
      </c>
      <c r="H9" s="20"/>
      <c r="I9" s="20">
        <f>I10+I11</f>
        <v>0</v>
      </c>
      <c r="J9" s="20"/>
      <c r="K9" s="20">
        <f>K10+K11</f>
        <v>0</v>
      </c>
      <c r="L9" s="20"/>
      <c r="M9" s="20"/>
    </row>
    <row r="10" s="4" customFormat="1" ht="33" customHeight="1" spans="1:13">
      <c r="A10" s="26">
        <v>1</v>
      </c>
      <c r="B10" s="139" t="s">
        <v>244</v>
      </c>
      <c r="C10" s="26" t="s">
        <v>100</v>
      </c>
      <c r="D10" s="22" t="s">
        <v>101</v>
      </c>
      <c r="E10" s="93">
        <v>10.1</v>
      </c>
      <c r="F10" s="21">
        <f t="shared" si="2"/>
        <v>10.1</v>
      </c>
      <c r="G10" s="93">
        <v>10.1</v>
      </c>
      <c r="H10" s="22" t="s">
        <v>63</v>
      </c>
      <c r="I10" s="21">
        <v>0</v>
      </c>
      <c r="J10" s="21" t="s">
        <v>16</v>
      </c>
      <c r="K10" s="21">
        <v>0</v>
      </c>
      <c r="L10" s="21" t="s">
        <v>16</v>
      </c>
      <c r="M10" s="26"/>
    </row>
    <row r="11" s="4" customFormat="1" ht="33" customHeight="1" spans="1:13">
      <c r="A11" s="26">
        <v>2</v>
      </c>
      <c r="B11" s="139" t="s">
        <v>244</v>
      </c>
      <c r="C11" s="26" t="s">
        <v>102</v>
      </c>
      <c r="D11" s="26" t="s">
        <v>103</v>
      </c>
      <c r="E11" s="93">
        <v>29.6</v>
      </c>
      <c r="F11" s="21">
        <f t="shared" si="2"/>
        <v>29.6</v>
      </c>
      <c r="G11" s="93">
        <v>29.6</v>
      </c>
      <c r="H11" s="22" t="s">
        <v>63</v>
      </c>
      <c r="I11" s="21">
        <v>0</v>
      </c>
      <c r="J11" s="21" t="s">
        <v>16</v>
      </c>
      <c r="K11" s="21">
        <v>0</v>
      </c>
      <c r="L11" s="21" t="s">
        <v>16</v>
      </c>
      <c r="M11" s="26"/>
    </row>
    <row r="12" s="7" customFormat="1" ht="30" customHeight="1" spans="1:13">
      <c r="A12" s="33" t="s">
        <v>105</v>
      </c>
      <c r="B12" s="34"/>
      <c r="C12" s="35"/>
      <c r="D12" s="20" t="s">
        <v>80</v>
      </c>
      <c r="E12" s="20">
        <f>SUM(E13:E17)</f>
        <v>695.69</v>
      </c>
      <c r="F12" s="29">
        <f t="shared" si="2"/>
        <v>439.03537</v>
      </c>
      <c r="G12" s="20">
        <f>G13+G14+G15+G16+G17</f>
        <v>288.189259</v>
      </c>
      <c r="H12" s="20"/>
      <c r="I12" s="20">
        <f>I13+I14+I15+I16+I17</f>
        <v>84.117074</v>
      </c>
      <c r="J12" s="20"/>
      <c r="K12" s="20">
        <f>K13+K14+K15+K16+K17</f>
        <v>66.729037</v>
      </c>
      <c r="L12" s="20"/>
      <c r="M12" s="20"/>
    </row>
    <row r="13" s="7" customFormat="1" ht="45" customHeight="1" spans="1:13">
      <c r="A13" s="26">
        <v>1</v>
      </c>
      <c r="B13" s="26" t="s">
        <v>245</v>
      </c>
      <c r="C13" s="26" t="s">
        <v>246</v>
      </c>
      <c r="D13" s="26" t="s">
        <v>247</v>
      </c>
      <c r="E13" s="94">
        <v>74.32</v>
      </c>
      <c r="F13" s="21">
        <f t="shared" si="2"/>
        <v>57.51009</v>
      </c>
      <c r="G13" s="26">
        <v>44.592</v>
      </c>
      <c r="H13" s="22" t="s">
        <v>63</v>
      </c>
      <c r="I13" s="141">
        <v>12.91809</v>
      </c>
      <c r="J13" s="26" t="s">
        <v>117</v>
      </c>
      <c r="K13" s="21">
        <v>0</v>
      </c>
      <c r="L13" s="21" t="s">
        <v>16</v>
      </c>
      <c r="M13" s="20"/>
    </row>
    <row r="14" s="7" customFormat="1" ht="50" customHeight="1" spans="1:13">
      <c r="A14" s="26">
        <v>2</v>
      </c>
      <c r="B14" s="26" t="s">
        <v>245</v>
      </c>
      <c r="C14" s="22" t="s">
        <v>248</v>
      </c>
      <c r="D14" s="22" t="s">
        <v>249</v>
      </c>
      <c r="E14" s="94">
        <v>145</v>
      </c>
      <c r="F14" s="21">
        <f t="shared" si="2"/>
        <v>80.42008</v>
      </c>
      <c r="G14" s="26">
        <v>76</v>
      </c>
      <c r="H14" s="22" t="s">
        <v>63</v>
      </c>
      <c r="I14" s="141">
        <v>4.42008</v>
      </c>
      <c r="J14" s="26" t="s">
        <v>117</v>
      </c>
      <c r="K14" s="21">
        <v>0</v>
      </c>
      <c r="L14" s="21" t="s">
        <v>16</v>
      </c>
      <c r="M14" s="20"/>
    </row>
    <row r="15" s="7" customFormat="1" ht="39" customHeight="1" spans="1:13">
      <c r="A15" s="26">
        <v>3</v>
      </c>
      <c r="B15" s="26" t="s">
        <v>245</v>
      </c>
      <c r="C15" s="26" t="s">
        <v>250</v>
      </c>
      <c r="D15" s="26" t="s">
        <v>251</v>
      </c>
      <c r="E15" s="94">
        <v>55</v>
      </c>
      <c r="F15" s="21">
        <f t="shared" si="2"/>
        <v>44</v>
      </c>
      <c r="G15" s="26">
        <v>44</v>
      </c>
      <c r="H15" s="22" t="s">
        <v>63</v>
      </c>
      <c r="I15" s="21">
        <v>0</v>
      </c>
      <c r="J15" s="21" t="s">
        <v>16</v>
      </c>
      <c r="K15" s="21">
        <v>0</v>
      </c>
      <c r="L15" s="21" t="s">
        <v>16</v>
      </c>
      <c r="M15" s="20"/>
    </row>
    <row r="16" s="7" customFormat="1" ht="75" customHeight="1" spans="1:13">
      <c r="A16" s="26">
        <v>4</v>
      </c>
      <c r="B16" s="22" t="s">
        <v>245</v>
      </c>
      <c r="C16" s="22" t="s">
        <v>252</v>
      </c>
      <c r="D16" s="107" t="s">
        <v>253</v>
      </c>
      <c r="E16" s="22">
        <v>220</v>
      </c>
      <c r="F16" s="21">
        <f t="shared" si="2"/>
        <v>129.4552</v>
      </c>
      <c r="G16" s="26">
        <v>67.076296</v>
      </c>
      <c r="H16" s="26" t="s">
        <v>37</v>
      </c>
      <c r="I16" s="142">
        <v>62.378904</v>
      </c>
      <c r="J16" s="26" t="s">
        <v>254</v>
      </c>
      <c r="K16" s="21">
        <v>0</v>
      </c>
      <c r="L16" s="21" t="s">
        <v>16</v>
      </c>
      <c r="M16" s="20"/>
    </row>
    <row r="17" s="7" customFormat="1" ht="80" customHeight="1" spans="1:13">
      <c r="A17" s="26">
        <v>5</v>
      </c>
      <c r="B17" s="22" t="s">
        <v>255</v>
      </c>
      <c r="C17" s="22" t="s">
        <v>256</v>
      </c>
      <c r="D17" s="26" t="s">
        <v>257</v>
      </c>
      <c r="E17" s="22">
        <v>201.37</v>
      </c>
      <c r="F17" s="21">
        <f t="shared" si="2"/>
        <v>127.65</v>
      </c>
      <c r="G17" s="21">
        <f>48+8.520963</f>
        <v>56.520963</v>
      </c>
      <c r="H17" s="26" t="s">
        <v>37</v>
      </c>
      <c r="I17" s="21">
        <v>4.4</v>
      </c>
      <c r="J17" s="22" t="s">
        <v>89</v>
      </c>
      <c r="K17" s="21">
        <v>66.729037</v>
      </c>
      <c r="L17" s="22" t="s">
        <v>113</v>
      </c>
      <c r="M17" s="20"/>
    </row>
    <row r="18" s="5" customFormat="1" ht="36" customHeight="1" spans="1:15">
      <c r="A18" s="19" t="s">
        <v>124</v>
      </c>
      <c r="B18" s="140"/>
      <c r="C18" s="19"/>
      <c r="D18" s="19" t="s">
        <v>80</v>
      </c>
      <c r="E18" s="20">
        <f>SUM(E19:E27)</f>
        <v>942.91425</v>
      </c>
      <c r="F18" s="20">
        <f t="shared" si="2"/>
        <v>350.162063</v>
      </c>
      <c r="G18" s="20">
        <f>SUM(G19:G27)</f>
        <v>0</v>
      </c>
      <c r="H18" s="20"/>
      <c r="I18" s="20">
        <f>SUM(I19:I27)</f>
        <v>239.242521</v>
      </c>
      <c r="J18" s="20"/>
      <c r="K18" s="20">
        <f>SUM(K19:K27)</f>
        <v>110.919542</v>
      </c>
      <c r="L18" s="29"/>
      <c r="M18" s="29"/>
      <c r="N18" s="7"/>
      <c r="O18" s="7"/>
    </row>
    <row r="19" s="6" customFormat="1" ht="84" customHeight="1" spans="1:13">
      <c r="A19" s="132">
        <v>1</v>
      </c>
      <c r="B19" s="26" t="s">
        <v>244</v>
      </c>
      <c r="C19" s="26" t="s">
        <v>258</v>
      </c>
      <c r="D19" s="26" t="s">
        <v>259</v>
      </c>
      <c r="E19" s="26">
        <v>424.99</v>
      </c>
      <c r="F19" s="21">
        <f t="shared" si="2"/>
        <v>298.083912</v>
      </c>
      <c r="G19" s="21">
        <v>0</v>
      </c>
      <c r="H19" s="21" t="s">
        <v>16</v>
      </c>
      <c r="I19" s="21">
        <v>239.242521</v>
      </c>
      <c r="J19" s="22" t="s">
        <v>260</v>
      </c>
      <c r="K19" s="21">
        <v>58.841391</v>
      </c>
      <c r="L19" s="22" t="s">
        <v>159</v>
      </c>
      <c r="M19" s="21"/>
    </row>
    <row r="20" s="6" customFormat="1" ht="44" customHeight="1" spans="1:13">
      <c r="A20" s="132">
        <v>2</v>
      </c>
      <c r="B20" s="22" t="s">
        <v>261</v>
      </c>
      <c r="C20" s="22" t="s">
        <v>262</v>
      </c>
      <c r="D20" s="22" t="s">
        <v>263</v>
      </c>
      <c r="E20" s="136">
        <v>37.17</v>
      </c>
      <c r="F20" s="21">
        <f t="shared" si="2"/>
        <v>1.8989</v>
      </c>
      <c r="G20" s="21">
        <v>0</v>
      </c>
      <c r="H20" s="21" t="s">
        <v>16</v>
      </c>
      <c r="I20" s="21">
        <v>0</v>
      </c>
      <c r="J20" s="21" t="s">
        <v>16</v>
      </c>
      <c r="K20" s="1">
        <v>1.8989</v>
      </c>
      <c r="L20" s="22" t="s">
        <v>159</v>
      </c>
      <c r="M20" s="21"/>
    </row>
    <row r="21" s="6" customFormat="1" ht="40" customHeight="1" spans="1:13">
      <c r="A21" s="132">
        <v>3</v>
      </c>
      <c r="B21" s="22" t="s">
        <v>261</v>
      </c>
      <c r="C21" s="22" t="s">
        <v>264</v>
      </c>
      <c r="D21" s="22" t="s">
        <v>265</v>
      </c>
      <c r="E21" s="136">
        <v>196.74</v>
      </c>
      <c r="F21" s="21">
        <f t="shared" si="2"/>
        <v>5.49781</v>
      </c>
      <c r="G21" s="21">
        <v>0</v>
      </c>
      <c r="H21" s="21" t="s">
        <v>16</v>
      </c>
      <c r="I21" s="21">
        <v>0</v>
      </c>
      <c r="J21" s="21" t="s">
        <v>16</v>
      </c>
      <c r="K21" s="114">
        <v>5.49781</v>
      </c>
      <c r="L21" s="22" t="s">
        <v>159</v>
      </c>
      <c r="M21" s="21"/>
    </row>
    <row r="22" s="6" customFormat="1" ht="41" customHeight="1" spans="1:13">
      <c r="A22" s="132">
        <v>4</v>
      </c>
      <c r="B22" s="22" t="s">
        <v>261</v>
      </c>
      <c r="C22" s="22" t="s">
        <v>266</v>
      </c>
      <c r="D22" s="22" t="s">
        <v>267</v>
      </c>
      <c r="E22" s="136">
        <v>43.61</v>
      </c>
      <c r="F22" s="21">
        <f t="shared" si="2"/>
        <v>0.460663</v>
      </c>
      <c r="G22" s="21">
        <v>0</v>
      </c>
      <c r="H22" s="21" t="s">
        <v>16</v>
      </c>
      <c r="I22" s="21">
        <v>0</v>
      </c>
      <c r="J22" s="21" t="s">
        <v>16</v>
      </c>
      <c r="K22" s="114">
        <v>0.460663</v>
      </c>
      <c r="L22" s="22" t="s">
        <v>159</v>
      </c>
      <c r="M22" s="21"/>
    </row>
    <row r="23" s="6" customFormat="1" ht="39" customHeight="1" spans="1:13">
      <c r="A23" s="132">
        <v>5</v>
      </c>
      <c r="B23" s="26" t="s">
        <v>268</v>
      </c>
      <c r="C23" s="22" t="s">
        <v>269</v>
      </c>
      <c r="D23" s="22" t="s">
        <v>270</v>
      </c>
      <c r="E23" s="136">
        <v>25.96</v>
      </c>
      <c r="F23" s="21">
        <f t="shared" si="2"/>
        <v>6.000013</v>
      </c>
      <c r="G23" s="21">
        <v>0</v>
      </c>
      <c r="H23" s="21" t="s">
        <v>16</v>
      </c>
      <c r="I23" s="21">
        <v>0</v>
      </c>
      <c r="J23" s="21" t="s">
        <v>16</v>
      </c>
      <c r="K23" s="114">
        <v>6.000013</v>
      </c>
      <c r="L23" s="22" t="s">
        <v>159</v>
      </c>
      <c r="M23" s="21"/>
    </row>
    <row r="24" s="6" customFormat="1" ht="46" customHeight="1" spans="1:13">
      <c r="A24" s="132">
        <v>6</v>
      </c>
      <c r="B24" s="26" t="s">
        <v>268</v>
      </c>
      <c r="C24" s="22" t="s">
        <v>271</v>
      </c>
      <c r="D24" s="22" t="s">
        <v>272</v>
      </c>
      <c r="E24" s="136">
        <v>79.06</v>
      </c>
      <c r="F24" s="21">
        <f t="shared" ref="F24:F29" si="3">G24+I24+K24</f>
        <v>9.682822</v>
      </c>
      <c r="G24" s="21">
        <v>0</v>
      </c>
      <c r="H24" s="21" t="s">
        <v>16</v>
      </c>
      <c r="I24" s="21">
        <v>0</v>
      </c>
      <c r="J24" s="21" t="s">
        <v>16</v>
      </c>
      <c r="K24" s="114">
        <v>9.682822</v>
      </c>
      <c r="L24" s="22" t="s">
        <v>159</v>
      </c>
      <c r="M24" s="21"/>
    </row>
    <row r="25" s="6" customFormat="1" ht="44" customHeight="1" spans="1:13">
      <c r="A25" s="132">
        <v>7</v>
      </c>
      <c r="B25" s="26" t="s">
        <v>268</v>
      </c>
      <c r="C25" s="22" t="s">
        <v>273</v>
      </c>
      <c r="D25" s="22" t="s">
        <v>274</v>
      </c>
      <c r="E25" s="136">
        <v>16.75</v>
      </c>
      <c r="F25" s="21">
        <f t="shared" si="3"/>
        <v>5.000099</v>
      </c>
      <c r="G25" s="21">
        <v>0</v>
      </c>
      <c r="H25" s="21" t="s">
        <v>16</v>
      </c>
      <c r="I25" s="21">
        <v>0</v>
      </c>
      <c r="J25" s="21" t="s">
        <v>16</v>
      </c>
      <c r="K25" s="114">
        <v>5.000099</v>
      </c>
      <c r="L25" s="22" t="s">
        <v>159</v>
      </c>
      <c r="M25" s="21"/>
    </row>
    <row r="26" s="6" customFormat="1" ht="46" customHeight="1" spans="1:13">
      <c r="A26" s="132">
        <v>8</v>
      </c>
      <c r="B26" s="22" t="s">
        <v>268</v>
      </c>
      <c r="C26" s="22" t="s">
        <v>275</v>
      </c>
      <c r="D26" s="22" t="s">
        <v>276</v>
      </c>
      <c r="E26" s="22">
        <v>64.3235</v>
      </c>
      <c r="F26" s="21">
        <f t="shared" si="3"/>
        <v>12.8647</v>
      </c>
      <c r="G26" s="21">
        <v>0</v>
      </c>
      <c r="H26" s="21" t="s">
        <v>16</v>
      </c>
      <c r="I26" s="21">
        <v>0</v>
      </c>
      <c r="J26" s="21" t="s">
        <v>16</v>
      </c>
      <c r="K26" s="21">
        <v>12.8647</v>
      </c>
      <c r="L26" s="22" t="s">
        <v>159</v>
      </c>
      <c r="M26" s="124"/>
    </row>
    <row r="27" s="6" customFormat="1" ht="55" customHeight="1" spans="1:13">
      <c r="A27" s="132">
        <v>9</v>
      </c>
      <c r="B27" s="22" t="s">
        <v>268</v>
      </c>
      <c r="C27" s="22" t="s">
        <v>277</v>
      </c>
      <c r="D27" s="22" t="s">
        <v>278</v>
      </c>
      <c r="E27" s="22">
        <v>54.31075</v>
      </c>
      <c r="F27" s="21">
        <f t="shared" si="3"/>
        <v>10.673144</v>
      </c>
      <c r="G27" s="21">
        <v>0</v>
      </c>
      <c r="H27" s="21" t="s">
        <v>16</v>
      </c>
      <c r="I27" s="21">
        <v>0</v>
      </c>
      <c r="J27" s="21" t="s">
        <v>16</v>
      </c>
      <c r="K27" s="114">
        <v>10.673144</v>
      </c>
      <c r="L27" s="22" t="s">
        <v>159</v>
      </c>
      <c r="M27" s="21"/>
    </row>
    <row r="28" s="7" customFormat="1" ht="30" customHeight="1" spans="1:13">
      <c r="A28" s="20" t="s">
        <v>54</v>
      </c>
      <c r="B28" s="20"/>
      <c r="C28" s="20"/>
      <c r="D28" s="20" t="s">
        <v>80</v>
      </c>
      <c r="E28" s="20">
        <f>E29</f>
        <v>63.946748</v>
      </c>
      <c r="F28" s="29">
        <f t="shared" si="3"/>
        <v>63.946748</v>
      </c>
      <c r="G28" s="20">
        <f>G29</f>
        <v>0</v>
      </c>
      <c r="H28" s="20"/>
      <c r="I28" s="20">
        <f>I29</f>
        <v>0</v>
      </c>
      <c r="J28" s="20"/>
      <c r="K28" s="20">
        <f>K29</f>
        <v>63.946748</v>
      </c>
      <c r="L28" s="20"/>
      <c r="M28" s="20"/>
    </row>
    <row r="29" s="4" customFormat="1" ht="33" customHeight="1" spans="1:13">
      <c r="A29" s="26">
        <v>1</v>
      </c>
      <c r="B29" s="27" t="s">
        <v>244</v>
      </c>
      <c r="C29" s="28" t="s">
        <v>54</v>
      </c>
      <c r="D29" s="26" t="s">
        <v>16</v>
      </c>
      <c r="E29" s="26">
        <f>F29</f>
        <v>63.946748</v>
      </c>
      <c r="F29" s="21">
        <f t="shared" si="3"/>
        <v>63.946748</v>
      </c>
      <c r="G29" s="21">
        <v>0</v>
      </c>
      <c r="H29" s="21" t="s">
        <v>16</v>
      </c>
      <c r="I29" s="21">
        <v>0</v>
      </c>
      <c r="J29" s="21" t="s">
        <v>16</v>
      </c>
      <c r="K29" s="26">
        <f>50.999948+12.9468</f>
        <v>63.946748</v>
      </c>
      <c r="L29" s="24" t="s">
        <v>279</v>
      </c>
      <c r="M29" s="26"/>
    </row>
    <row r="30" s="6" customFormat="1" ht="12"/>
    <row r="31" s="6" customFormat="1" ht="12"/>
    <row r="32" s="6" customFormat="1" ht="12"/>
  </sheetData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18:C18"/>
    <mergeCell ref="A28:C28"/>
    <mergeCell ref="A4:A5"/>
    <mergeCell ref="B4:B5"/>
    <mergeCell ref="C4:C5"/>
    <mergeCell ref="D4:D5"/>
    <mergeCell ref="E4:E5"/>
    <mergeCell ref="M4:M5"/>
  </mergeCells>
  <pageMargins left="0.393055555555556" right="0.0784722222222222" top="0.472222222222222" bottom="0.393055555555556" header="0.5" footer="0.432638888888889"/>
  <pageSetup paperSize="9" scale="59" fitToHeight="0" orientation="portrait" horizontalDpi="600"/>
  <headerFooter/>
  <ignoredErrors>
    <ignoredError sqref="F7 F9 F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L48"/>
  <sheetViews>
    <sheetView view="pageBreakPreview" zoomScale="80" zoomScaleNormal="70" workbookViewId="0">
      <pane ySplit="6" topLeftCell="A46" activePane="bottomLeft" state="frozen"/>
      <selection/>
      <selection pane="bottomLeft" activeCell="F6" sqref="F6"/>
    </sheetView>
  </sheetViews>
  <sheetFormatPr defaultColWidth="9" defaultRowHeight="15.6"/>
  <cols>
    <col min="1" max="1" width="4.44444444444444" style="8" customWidth="1"/>
    <col min="2" max="2" width="18.5740740740741" style="8" customWidth="1"/>
    <col min="3" max="3" width="20.3148148148148" style="8" customWidth="1"/>
    <col min="4" max="4" width="18.4074074074074" style="8" customWidth="1"/>
    <col min="5" max="5" width="13.0185185185185" style="8" customWidth="1"/>
    <col min="6" max="6" width="13.8055555555556" style="8" customWidth="1"/>
    <col min="7" max="7" width="11.1111111111111" style="8" customWidth="1"/>
    <col min="8" max="8" width="14.3703703703704" style="8" customWidth="1"/>
    <col min="9" max="9" width="11.1111111111111" style="8" customWidth="1"/>
    <col min="10" max="10" width="13.5925925925926" style="8" customWidth="1"/>
    <col min="11" max="11" width="12.4907407407407" style="8" customWidth="1"/>
    <col min="12" max="12" width="11.1111111111111" style="8" customWidth="1"/>
    <col min="13" max="13" width="6.24074074074074" style="8" customWidth="1"/>
    <col min="14" max="14" width="5.66666666666667" style="8"/>
    <col min="15" max="16" width="11.1296296296296" style="8"/>
    <col min="17" max="16216" width="4.7037037037037" style="8"/>
    <col min="16217" max="16384" width="9" style="8"/>
  </cols>
  <sheetData>
    <row r="1" s="8" customFormat="1" ht="30" customHeight="1" spans="1:10">
      <c r="A1" s="86" t="s">
        <v>280</v>
      </c>
      <c r="B1" s="86"/>
      <c r="F1" s="10"/>
      <c r="H1" s="6"/>
      <c r="J1" s="6"/>
    </row>
    <row r="2" s="125" customFormat="1" ht="42" customHeight="1" spans="1:13">
      <c r="A2" s="126" t="s">
        <v>281</v>
      </c>
      <c r="B2" s="126"/>
      <c r="C2" s="126"/>
      <c r="D2" s="126"/>
      <c r="E2" s="127"/>
      <c r="F2" s="127"/>
      <c r="G2" s="127"/>
      <c r="H2" s="127"/>
      <c r="I2" s="127"/>
      <c r="J2" s="127"/>
      <c r="K2" s="127"/>
      <c r="L2" s="127"/>
      <c r="M2" s="127"/>
    </row>
    <row r="3" s="88" customFormat="1" ht="31" customHeight="1" spans="1:13">
      <c r="A3" s="14" t="s">
        <v>75</v>
      </c>
      <c r="B3" s="14"/>
      <c r="C3" s="14"/>
      <c r="D3" s="14"/>
      <c r="E3" s="14"/>
      <c r="F3" s="14"/>
      <c r="G3" s="14"/>
      <c r="H3" s="128"/>
      <c r="I3" s="14"/>
      <c r="J3" s="128"/>
      <c r="K3" s="14"/>
      <c r="L3" s="14"/>
      <c r="M3" s="14"/>
    </row>
    <row r="4" s="89" customFormat="1" ht="32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89" customFormat="1" ht="32" customHeight="1" spans="1:13">
      <c r="A5" s="129"/>
      <c r="B5" s="129"/>
      <c r="C5" s="129"/>
      <c r="D5" s="129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6" customFormat="1" ht="34" customHeight="1" spans="1:13">
      <c r="A6" s="130">
        <f>A10+A13+A19+A46+A48</f>
        <v>37</v>
      </c>
      <c r="B6" s="106" t="s">
        <v>282</v>
      </c>
      <c r="C6" s="106"/>
      <c r="D6" s="106"/>
      <c r="E6" s="106">
        <f>E7+E11+E14+E20+E47</f>
        <v>3498.476141</v>
      </c>
      <c r="F6" s="29">
        <f>G6+I6+K6</f>
        <v>2377.588437</v>
      </c>
      <c r="G6" s="29">
        <f>G7+G11+G14+G20+G47</f>
        <v>1046.627669</v>
      </c>
      <c r="H6" s="29"/>
      <c r="I6" s="29">
        <f>I7+I11+I14+I20+I47</f>
        <v>638.116208</v>
      </c>
      <c r="J6" s="29"/>
      <c r="K6" s="29">
        <f>K7+K11+K14+K20+K47</f>
        <v>692.84456</v>
      </c>
      <c r="L6" s="21"/>
      <c r="M6" s="21"/>
    </row>
    <row r="7" s="7" customFormat="1" ht="37" customHeight="1" spans="1:13">
      <c r="A7" s="31" t="s">
        <v>82</v>
      </c>
      <c r="B7" s="131"/>
      <c r="C7" s="32"/>
      <c r="D7" s="19" t="s">
        <v>80</v>
      </c>
      <c r="E7" s="20">
        <f>SUM(E8:E10)</f>
        <v>1290.448</v>
      </c>
      <c r="F7" s="29">
        <f>G7+I7+K7</f>
        <v>1290.448</v>
      </c>
      <c r="G7" s="20">
        <f>G8+G9+G10</f>
        <v>514.218</v>
      </c>
      <c r="H7" s="20"/>
      <c r="I7" s="20">
        <f>I8+I9+I10</f>
        <v>508</v>
      </c>
      <c r="J7" s="20"/>
      <c r="K7" s="20">
        <f>K8+K9+K10</f>
        <v>268.23</v>
      </c>
      <c r="L7" s="20"/>
      <c r="M7" s="20"/>
    </row>
    <row r="8" s="7" customFormat="1" ht="67" customHeight="1" spans="1:17">
      <c r="A8" s="132">
        <v>1</v>
      </c>
      <c r="B8" s="91" t="s">
        <v>283</v>
      </c>
      <c r="C8" s="26" t="s">
        <v>146</v>
      </c>
      <c r="D8" s="92" t="s">
        <v>147</v>
      </c>
      <c r="E8" s="21">
        <v>500</v>
      </c>
      <c r="F8" s="26">
        <f>G8+I8+K8</f>
        <v>500</v>
      </c>
      <c r="G8" s="21">
        <v>103</v>
      </c>
      <c r="H8" s="133" t="s">
        <v>63</v>
      </c>
      <c r="I8" s="22">
        <f>500-103</f>
        <v>397</v>
      </c>
      <c r="J8" s="22" t="s">
        <v>89</v>
      </c>
      <c r="K8" s="21">
        <v>0</v>
      </c>
      <c r="L8" s="21" t="s">
        <v>16</v>
      </c>
      <c r="M8" s="110"/>
      <c r="O8" s="116"/>
      <c r="P8" s="116"/>
      <c r="Q8" s="116"/>
    </row>
    <row r="9" s="7" customFormat="1" ht="78" customHeight="1" spans="1:17">
      <c r="A9" s="132">
        <v>2</v>
      </c>
      <c r="B9" s="22" t="s">
        <v>284</v>
      </c>
      <c r="C9" s="22" t="s">
        <v>285</v>
      </c>
      <c r="D9" s="22" t="s">
        <v>286</v>
      </c>
      <c r="E9" s="22">
        <v>400</v>
      </c>
      <c r="F9" s="21">
        <f>G9+I9+K9</f>
        <v>400</v>
      </c>
      <c r="G9" s="21">
        <v>200</v>
      </c>
      <c r="H9" s="22" t="s">
        <v>287</v>
      </c>
      <c r="I9" s="26">
        <f>103+8</f>
        <v>111</v>
      </c>
      <c r="J9" s="26" t="s">
        <v>288</v>
      </c>
      <c r="K9" s="21">
        <f>25+64</f>
        <v>89</v>
      </c>
      <c r="L9" s="24" t="s">
        <v>113</v>
      </c>
      <c r="M9" s="20"/>
      <c r="O9" s="134"/>
      <c r="P9" s="134"/>
      <c r="Q9" s="116"/>
    </row>
    <row r="10" s="7" customFormat="1" ht="74" customHeight="1" spans="1:13">
      <c r="A10" s="132">
        <v>3</v>
      </c>
      <c r="B10" s="22" t="s">
        <v>289</v>
      </c>
      <c r="C10" s="22" t="s">
        <v>290</v>
      </c>
      <c r="D10" s="22" t="s">
        <v>291</v>
      </c>
      <c r="E10" s="22">
        <v>390.448</v>
      </c>
      <c r="F10" s="21">
        <f>G10+I10+K10</f>
        <v>390.448</v>
      </c>
      <c r="G10" s="21">
        <f>201.77+9.448</f>
        <v>211.218</v>
      </c>
      <c r="H10" s="22" t="s">
        <v>292</v>
      </c>
      <c r="I10" s="21">
        <v>0</v>
      </c>
      <c r="J10" s="21" t="s">
        <v>16</v>
      </c>
      <c r="K10" s="26">
        <f>243.23-64</f>
        <v>179.23</v>
      </c>
      <c r="L10" s="24" t="s">
        <v>113</v>
      </c>
      <c r="M10" s="20"/>
    </row>
    <row r="11" s="7" customFormat="1" ht="34" customHeight="1" spans="1:16210">
      <c r="A11" s="33" t="s">
        <v>98</v>
      </c>
      <c r="B11" s="34"/>
      <c r="C11" s="35"/>
      <c r="D11" s="20" t="s">
        <v>80</v>
      </c>
      <c r="E11" s="29">
        <f>E12+E13</f>
        <v>171.14879</v>
      </c>
      <c r="F11" s="29">
        <f t="shared" ref="F11:F20" si="0">G11+I11+K11</f>
        <v>171.14879</v>
      </c>
      <c r="G11" s="29">
        <f>G12+G13</f>
        <v>171.14879</v>
      </c>
      <c r="H11" s="29"/>
      <c r="I11" s="29">
        <f>I12+I13</f>
        <v>0</v>
      </c>
      <c r="J11" s="29"/>
      <c r="K11" s="29">
        <f>K12+K13</f>
        <v>0</v>
      </c>
      <c r="L11" s="20"/>
      <c r="M11" s="20"/>
      <c r="WYJ11" s="5"/>
      <c r="WYK11" s="5"/>
      <c r="WYL11" s="5"/>
    </row>
    <row r="12" s="4" customFormat="1" ht="34" customHeight="1" spans="1:13">
      <c r="A12" s="26">
        <v>1</v>
      </c>
      <c r="B12" s="26" t="s">
        <v>293</v>
      </c>
      <c r="C12" s="26" t="s">
        <v>100</v>
      </c>
      <c r="D12" s="22" t="s">
        <v>101</v>
      </c>
      <c r="E12" s="93">
        <v>30.64879</v>
      </c>
      <c r="F12" s="21">
        <f t="shared" si="0"/>
        <v>30.64879</v>
      </c>
      <c r="G12" s="93">
        <v>30.64879</v>
      </c>
      <c r="H12" s="22" t="s">
        <v>63</v>
      </c>
      <c r="I12" s="21">
        <v>0</v>
      </c>
      <c r="J12" s="26" t="s">
        <v>16</v>
      </c>
      <c r="K12" s="26">
        <v>0</v>
      </c>
      <c r="L12" s="26" t="s">
        <v>16</v>
      </c>
      <c r="M12" s="26"/>
    </row>
    <row r="13" s="4" customFormat="1" ht="34" customHeight="1" spans="1:13">
      <c r="A13" s="26">
        <v>2</v>
      </c>
      <c r="B13" s="26" t="s">
        <v>293</v>
      </c>
      <c r="C13" s="26" t="s">
        <v>102</v>
      </c>
      <c r="D13" s="26" t="s">
        <v>103</v>
      </c>
      <c r="E13" s="93">
        <v>140.5</v>
      </c>
      <c r="F13" s="21">
        <f t="shared" si="0"/>
        <v>140.5</v>
      </c>
      <c r="G13" s="93">
        <v>140.5</v>
      </c>
      <c r="H13" s="22" t="s">
        <v>63</v>
      </c>
      <c r="I13" s="21">
        <v>0</v>
      </c>
      <c r="J13" s="26" t="s">
        <v>16</v>
      </c>
      <c r="K13" s="26">
        <v>0</v>
      </c>
      <c r="L13" s="26" t="s">
        <v>16</v>
      </c>
      <c r="M13" s="26"/>
    </row>
    <row r="14" s="4" customFormat="1" ht="30" customHeight="1" spans="1:13">
      <c r="A14" s="33" t="s">
        <v>105</v>
      </c>
      <c r="B14" s="34"/>
      <c r="C14" s="34"/>
      <c r="D14" s="20" t="s">
        <v>80</v>
      </c>
      <c r="E14" s="20">
        <f>SUM(E15:E19)</f>
        <v>677.012723</v>
      </c>
      <c r="F14" s="20">
        <f t="shared" si="0"/>
        <v>618.656136</v>
      </c>
      <c r="G14" s="20">
        <f>G15+G16+G17+G19+G18</f>
        <v>361.260879</v>
      </c>
      <c r="H14" s="20"/>
      <c r="I14" s="20">
        <f>I15+I16+I18+I19</f>
        <v>130.116208</v>
      </c>
      <c r="J14" s="20"/>
      <c r="K14" s="20">
        <f>K15+K16+K17+K19+K18</f>
        <v>127.279049</v>
      </c>
      <c r="L14" s="26"/>
      <c r="M14" s="26"/>
    </row>
    <row r="15" s="4" customFormat="1" ht="38" customHeight="1" spans="1:13">
      <c r="A15" s="26">
        <v>1</v>
      </c>
      <c r="B15" s="26" t="s">
        <v>294</v>
      </c>
      <c r="C15" s="26" t="s">
        <v>295</v>
      </c>
      <c r="D15" s="26" t="s">
        <v>296</v>
      </c>
      <c r="E15" s="96">
        <v>197.925438</v>
      </c>
      <c r="F15" s="21">
        <f t="shared" si="0"/>
        <v>191.8889</v>
      </c>
      <c r="G15" s="26">
        <f>17</f>
        <v>17</v>
      </c>
      <c r="H15" s="22" t="s">
        <v>297</v>
      </c>
      <c r="I15" s="26">
        <f>103+13.104325</f>
        <v>116.104325</v>
      </c>
      <c r="J15" s="22" t="s">
        <v>89</v>
      </c>
      <c r="K15" s="26">
        <f>39.901225+18.88335</f>
        <v>58.784575</v>
      </c>
      <c r="L15" s="24" t="s">
        <v>298</v>
      </c>
      <c r="M15" s="26"/>
    </row>
    <row r="16" s="4" customFormat="1" ht="65" customHeight="1" spans="1:13">
      <c r="A16" s="26">
        <v>2</v>
      </c>
      <c r="B16" s="26" t="s">
        <v>299</v>
      </c>
      <c r="C16" s="26" t="s">
        <v>300</v>
      </c>
      <c r="D16" s="26" t="s">
        <v>301</v>
      </c>
      <c r="E16" s="96">
        <v>69.402342</v>
      </c>
      <c r="F16" s="21">
        <f t="shared" si="0"/>
        <v>67.161636</v>
      </c>
      <c r="G16" s="26">
        <f>42+13.54428+0.000032</f>
        <v>55.544312</v>
      </c>
      <c r="H16" s="22" t="s">
        <v>302</v>
      </c>
      <c r="I16" s="26">
        <v>9.5223</v>
      </c>
      <c r="J16" s="26" t="s">
        <v>303</v>
      </c>
      <c r="K16" s="26">
        <f>2.095024</f>
        <v>2.095024</v>
      </c>
      <c r="L16" s="26" t="s">
        <v>113</v>
      </c>
      <c r="M16" s="26"/>
    </row>
    <row r="17" s="4" customFormat="1" ht="66" customHeight="1" spans="1:13">
      <c r="A17" s="26">
        <v>3</v>
      </c>
      <c r="B17" s="26" t="s">
        <v>293</v>
      </c>
      <c r="C17" s="26" t="s">
        <v>304</v>
      </c>
      <c r="D17" s="26" t="s">
        <v>305</v>
      </c>
      <c r="E17" s="26">
        <v>118.584218</v>
      </c>
      <c r="F17" s="21">
        <f>G17+I18+K17</f>
        <v>118.777783</v>
      </c>
      <c r="G17" s="26">
        <f>73.2+18.004781+3.185824</f>
        <v>94.390605</v>
      </c>
      <c r="H17" s="22" t="s">
        <v>306</v>
      </c>
      <c r="I17" s="26">
        <v>0</v>
      </c>
      <c r="J17" s="26" t="s">
        <v>16</v>
      </c>
      <c r="K17" s="26">
        <v>19.897595</v>
      </c>
      <c r="L17" s="24" t="s">
        <v>113</v>
      </c>
      <c r="M17" s="26"/>
    </row>
    <row r="18" s="4" customFormat="1" ht="60" customHeight="1" spans="1:13">
      <c r="A18" s="26">
        <v>4</v>
      </c>
      <c r="B18" s="26" t="s">
        <v>307</v>
      </c>
      <c r="C18" s="26" t="s">
        <v>308</v>
      </c>
      <c r="D18" s="26" t="s">
        <v>309</v>
      </c>
      <c r="E18" s="26">
        <v>74.157453</v>
      </c>
      <c r="F18" s="21">
        <f>G18+I18+K18</f>
        <v>71.7674</v>
      </c>
      <c r="G18" s="26">
        <f>45+14.325962</f>
        <v>59.325962</v>
      </c>
      <c r="H18" s="22" t="s">
        <v>310</v>
      </c>
      <c r="I18" s="26">
        <v>4.489583</v>
      </c>
      <c r="J18" s="30" t="s">
        <v>89</v>
      </c>
      <c r="K18" s="30">
        <f>8.117184-0.165329</f>
        <v>7.951855</v>
      </c>
      <c r="L18" s="135" t="s">
        <v>311</v>
      </c>
      <c r="M18" s="26"/>
    </row>
    <row r="19" s="4" customFormat="1" ht="45" customHeight="1" spans="1:13">
      <c r="A19" s="26">
        <v>5</v>
      </c>
      <c r="B19" s="26" t="s">
        <v>312</v>
      </c>
      <c r="C19" s="26" t="s">
        <v>313</v>
      </c>
      <c r="D19" s="26" t="s">
        <v>301</v>
      </c>
      <c r="E19" s="96">
        <v>216.943272</v>
      </c>
      <c r="F19" s="21">
        <f t="shared" si="0"/>
        <v>173.55</v>
      </c>
      <c r="G19" s="26">
        <f>135</f>
        <v>135</v>
      </c>
      <c r="H19" s="22" t="s">
        <v>63</v>
      </c>
      <c r="I19" s="26">
        <v>0</v>
      </c>
      <c r="J19" s="26" t="s">
        <v>16</v>
      </c>
      <c r="K19" s="26">
        <v>38.55</v>
      </c>
      <c r="L19" s="24" t="s">
        <v>113</v>
      </c>
      <c r="M19" s="26"/>
    </row>
    <row r="20" s="6" customFormat="1" ht="36" customHeight="1" spans="1:13">
      <c r="A20" s="31" t="s">
        <v>124</v>
      </c>
      <c r="B20" s="131"/>
      <c r="C20" s="131"/>
      <c r="D20" s="19" t="s">
        <v>80</v>
      </c>
      <c r="E20" s="19">
        <f>SUM(E21:E46)</f>
        <v>1251.083173</v>
      </c>
      <c r="F20" s="19">
        <f t="shared" si="0"/>
        <v>188.552056</v>
      </c>
      <c r="G20" s="19">
        <f t="shared" ref="F20:K20" si="1">SUM(G21:G46)</f>
        <v>0</v>
      </c>
      <c r="H20" s="19"/>
      <c r="I20" s="19">
        <f t="shared" si="1"/>
        <v>0</v>
      </c>
      <c r="J20" s="19"/>
      <c r="K20" s="19">
        <f t="shared" si="1"/>
        <v>188.552056</v>
      </c>
      <c r="L20" s="21"/>
      <c r="M20" s="21"/>
    </row>
    <row r="21" s="6" customFormat="1" ht="42" customHeight="1" spans="1:13">
      <c r="A21" s="26">
        <v>1</v>
      </c>
      <c r="B21" s="26" t="s">
        <v>314</v>
      </c>
      <c r="C21" s="26" t="s">
        <v>315</v>
      </c>
      <c r="D21" s="22" t="s">
        <v>316</v>
      </c>
      <c r="E21" s="24">
        <v>70.902955</v>
      </c>
      <c r="F21" s="25">
        <f t="shared" ref="F21:F48" si="2">G21+I21+K21</f>
        <v>14.116282</v>
      </c>
      <c r="G21" s="21">
        <v>0</v>
      </c>
      <c r="H21" s="26" t="s">
        <v>16</v>
      </c>
      <c r="I21" s="21">
        <v>0</v>
      </c>
      <c r="J21" s="26" t="s">
        <v>16</v>
      </c>
      <c r="K21" s="136">
        <v>14.116282</v>
      </c>
      <c r="L21" s="24" t="s">
        <v>113</v>
      </c>
      <c r="M21" s="21"/>
    </row>
    <row r="22" s="6" customFormat="1" ht="42" customHeight="1" spans="1:13">
      <c r="A22" s="26">
        <v>2</v>
      </c>
      <c r="B22" s="26" t="s">
        <v>317</v>
      </c>
      <c r="C22" s="26" t="s">
        <v>318</v>
      </c>
      <c r="D22" s="22" t="s">
        <v>319</v>
      </c>
      <c r="E22" s="24">
        <v>48.911841</v>
      </c>
      <c r="F22" s="25">
        <f t="shared" si="2"/>
        <v>9.393241</v>
      </c>
      <c r="G22" s="21">
        <v>0</v>
      </c>
      <c r="H22" s="26" t="s">
        <v>16</v>
      </c>
      <c r="I22" s="21">
        <v>0</v>
      </c>
      <c r="J22" s="26" t="s">
        <v>16</v>
      </c>
      <c r="K22" s="136">
        <v>9.393241</v>
      </c>
      <c r="L22" s="24" t="s">
        <v>113</v>
      </c>
      <c r="M22" s="21"/>
    </row>
    <row r="23" s="6" customFormat="1" ht="48" customHeight="1" spans="1:13">
      <c r="A23" s="26">
        <v>3</v>
      </c>
      <c r="B23" s="26" t="s">
        <v>320</v>
      </c>
      <c r="C23" s="26" t="s">
        <v>321</v>
      </c>
      <c r="D23" s="22" t="s">
        <v>322</v>
      </c>
      <c r="E23" s="24">
        <v>63.24</v>
      </c>
      <c r="F23" s="25">
        <f t="shared" si="2"/>
        <v>24.1</v>
      </c>
      <c r="G23" s="21">
        <v>0</v>
      </c>
      <c r="H23" s="26" t="s">
        <v>16</v>
      </c>
      <c r="I23" s="21">
        <v>0</v>
      </c>
      <c r="J23" s="26" t="s">
        <v>16</v>
      </c>
      <c r="K23" s="136">
        <v>24.1</v>
      </c>
      <c r="L23" s="24" t="s">
        <v>113</v>
      </c>
      <c r="M23" s="21"/>
    </row>
    <row r="24" s="6" customFormat="1" ht="42" customHeight="1" spans="1:13">
      <c r="A24" s="26">
        <v>4</v>
      </c>
      <c r="B24" s="26" t="s">
        <v>312</v>
      </c>
      <c r="C24" s="26" t="s">
        <v>323</v>
      </c>
      <c r="D24" s="22" t="s">
        <v>324</v>
      </c>
      <c r="E24" s="24">
        <v>111.582268</v>
      </c>
      <c r="F24" s="25">
        <f t="shared" si="2"/>
        <v>42.4691</v>
      </c>
      <c r="G24" s="21">
        <v>0</v>
      </c>
      <c r="H24" s="26" t="s">
        <v>16</v>
      </c>
      <c r="I24" s="21">
        <v>0</v>
      </c>
      <c r="J24" s="26" t="s">
        <v>16</v>
      </c>
      <c r="K24" s="136">
        <v>42.4691</v>
      </c>
      <c r="L24" s="24" t="s">
        <v>113</v>
      </c>
      <c r="M24" s="21"/>
    </row>
    <row r="25" s="6" customFormat="1" ht="53" customHeight="1" spans="1:13">
      <c r="A25" s="26">
        <v>5</v>
      </c>
      <c r="B25" s="26" t="s">
        <v>325</v>
      </c>
      <c r="C25" s="26" t="s">
        <v>326</v>
      </c>
      <c r="D25" s="22" t="s">
        <v>327</v>
      </c>
      <c r="E25" s="24">
        <v>60.300011</v>
      </c>
      <c r="F25" s="25">
        <f t="shared" si="2"/>
        <v>9.6237</v>
      </c>
      <c r="G25" s="21">
        <v>0</v>
      </c>
      <c r="H25" s="26" t="s">
        <v>16</v>
      </c>
      <c r="I25" s="21">
        <v>0</v>
      </c>
      <c r="J25" s="26" t="s">
        <v>16</v>
      </c>
      <c r="K25" s="136">
        <v>9.6237</v>
      </c>
      <c r="L25" s="24" t="s">
        <v>113</v>
      </c>
      <c r="M25" s="21"/>
    </row>
    <row r="26" s="6" customFormat="1" ht="42" customHeight="1" spans="1:13">
      <c r="A26" s="26">
        <v>6</v>
      </c>
      <c r="B26" s="26" t="s">
        <v>328</v>
      </c>
      <c r="C26" s="26" t="s">
        <v>329</v>
      </c>
      <c r="D26" s="22" t="s">
        <v>330</v>
      </c>
      <c r="E26" s="24">
        <v>109.232682</v>
      </c>
      <c r="F26" s="25">
        <f t="shared" si="2"/>
        <v>21.77028</v>
      </c>
      <c r="G26" s="21">
        <v>0</v>
      </c>
      <c r="H26" s="26" t="s">
        <v>16</v>
      </c>
      <c r="I26" s="21">
        <v>0</v>
      </c>
      <c r="J26" s="26" t="s">
        <v>16</v>
      </c>
      <c r="K26" s="136">
        <v>21.77028</v>
      </c>
      <c r="L26" s="24" t="s">
        <v>113</v>
      </c>
      <c r="M26" s="21"/>
    </row>
    <row r="27" s="6" customFormat="1" ht="34" customHeight="1" spans="1:13">
      <c r="A27" s="26">
        <v>7</v>
      </c>
      <c r="B27" s="26" t="s">
        <v>331</v>
      </c>
      <c r="C27" s="26" t="s">
        <v>332</v>
      </c>
      <c r="D27" s="22" t="s">
        <v>333</v>
      </c>
      <c r="E27" s="24">
        <v>23.720786</v>
      </c>
      <c r="F27" s="25">
        <f t="shared" si="2"/>
        <v>4.540506</v>
      </c>
      <c r="G27" s="21">
        <v>0</v>
      </c>
      <c r="H27" s="26" t="s">
        <v>16</v>
      </c>
      <c r="I27" s="21">
        <v>0</v>
      </c>
      <c r="J27" s="26" t="s">
        <v>16</v>
      </c>
      <c r="K27" s="136">
        <v>4.540506</v>
      </c>
      <c r="L27" s="24" t="s">
        <v>113</v>
      </c>
      <c r="M27" s="21"/>
    </row>
    <row r="28" s="6" customFormat="1" ht="39" customHeight="1" spans="1:13">
      <c r="A28" s="26">
        <v>8</v>
      </c>
      <c r="B28" s="26" t="s">
        <v>334</v>
      </c>
      <c r="C28" s="26" t="s">
        <v>335</v>
      </c>
      <c r="D28" s="22" t="s">
        <v>336</v>
      </c>
      <c r="E28" s="24">
        <v>14.519137</v>
      </c>
      <c r="F28" s="25">
        <f t="shared" si="2"/>
        <v>2.585155</v>
      </c>
      <c r="G28" s="21">
        <v>0</v>
      </c>
      <c r="H28" s="26" t="s">
        <v>16</v>
      </c>
      <c r="I28" s="21">
        <v>0</v>
      </c>
      <c r="J28" s="26" t="s">
        <v>16</v>
      </c>
      <c r="K28" s="136">
        <v>2.585155</v>
      </c>
      <c r="L28" s="24" t="s">
        <v>113</v>
      </c>
      <c r="M28" s="21"/>
    </row>
    <row r="29" s="6" customFormat="1" ht="34" customHeight="1" spans="1:13">
      <c r="A29" s="26">
        <v>9</v>
      </c>
      <c r="B29" s="26" t="s">
        <v>299</v>
      </c>
      <c r="C29" s="26" t="s">
        <v>337</v>
      </c>
      <c r="D29" s="22" t="s">
        <v>338</v>
      </c>
      <c r="E29" s="24">
        <v>21.409066</v>
      </c>
      <c r="F29" s="25">
        <f t="shared" si="2"/>
        <v>4.004256</v>
      </c>
      <c r="G29" s="21">
        <v>0</v>
      </c>
      <c r="H29" s="26" t="s">
        <v>16</v>
      </c>
      <c r="I29" s="21">
        <v>0</v>
      </c>
      <c r="J29" s="26" t="s">
        <v>16</v>
      </c>
      <c r="K29" s="136">
        <v>4.004256</v>
      </c>
      <c r="L29" s="24" t="s">
        <v>113</v>
      </c>
      <c r="M29" s="21"/>
    </row>
    <row r="30" s="6" customFormat="1" ht="43" customHeight="1" spans="1:13">
      <c r="A30" s="26">
        <v>10</v>
      </c>
      <c r="B30" s="26" t="s">
        <v>294</v>
      </c>
      <c r="C30" s="26" t="s">
        <v>339</v>
      </c>
      <c r="D30" s="22" t="s">
        <v>340</v>
      </c>
      <c r="E30" s="24">
        <v>98.1051</v>
      </c>
      <c r="F30" s="25">
        <f t="shared" si="2"/>
        <v>37.0651</v>
      </c>
      <c r="G30" s="21">
        <v>0</v>
      </c>
      <c r="H30" s="26" t="s">
        <v>16</v>
      </c>
      <c r="I30" s="21">
        <v>0</v>
      </c>
      <c r="J30" s="26" t="s">
        <v>16</v>
      </c>
      <c r="K30" s="136">
        <v>37.0651</v>
      </c>
      <c r="L30" s="24" t="s">
        <v>113</v>
      </c>
      <c r="M30" s="21"/>
    </row>
    <row r="31" s="6" customFormat="1" ht="43" customHeight="1" spans="1:13">
      <c r="A31" s="26">
        <v>11</v>
      </c>
      <c r="B31" s="26" t="s">
        <v>328</v>
      </c>
      <c r="C31" s="26" t="s">
        <v>341</v>
      </c>
      <c r="D31" s="26" t="s">
        <v>342</v>
      </c>
      <c r="E31" s="24">
        <v>47.68399</v>
      </c>
      <c r="F31" s="25">
        <f t="shared" si="2"/>
        <v>1.43059</v>
      </c>
      <c r="G31" s="21">
        <v>0</v>
      </c>
      <c r="H31" s="26" t="s">
        <v>16</v>
      </c>
      <c r="I31" s="21">
        <v>0</v>
      </c>
      <c r="J31" s="26" t="s">
        <v>16</v>
      </c>
      <c r="K31" s="26">
        <v>1.43059</v>
      </c>
      <c r="L31" s="24" t="s">
        <v>113</v>
      </c>
      <c r="M31" s="21"/>
    </row>
    <row r="32" s="6" customFormat="1" ht="34" customHeight="1" spans="1:13">
      <c r="A32" s="26">
        <v>12</v>
      </c>
      <c r="B32" s="26" t="s">
        <v>328</v>
      </c>
      <c r="C32" s="26" t="s">
        <v>343</v>
      </c>
      <c r="D32" s="26" t="s">
        <v>344</v>
      </c>
      <c r="E32" s="24">
        <v>69.169777</v>
      </c>
      <c r="F32" s="25">
        <f t="shared" si="2"/>
        <v>2.075177</v>
      </c>
      <c r="G32" s="21">
        <v>0</v>
      </c>
      <c r="H32" s="26" t="s">
        <v>16</v>
      </c>
      <c r="I32" s="21">
        <v>0</v>
      </c>
      <c r="J32" s="26" t="s">
        <v>16</v>
      </c>
      <c r="K32" s="26">
        <v>2.075177</v>
      </c>
      <c r="L32" s="24" t="s">
        <v>113</v>
      </c>
      <c r="M32" s="21"/>
    </row>
    <row r="33" s="6" customFormat="1" ht="45" customHeight="1" spans="1:13">
      <c r="A33" s="26">
        <v>13</v>
      </c>
      <c r="B33" s="26" t="s">
        <v>328</v>
      </c>
      <c r="C33" s="26" t="s">
        <v>345</v>
      </c>
      <c r="D33" s="26" t="s">
        <v>346</v>
      </c>
      <c r="E33" s="24">
        <v>18.913437</v>
      </c>
      <c r="F33" s="25">
        <f t="shared" si="2"/>
        <v>0.567437</v>
      </c>
      <c r="G33" s="21">
        <v>0</v>
      </c>
      <c r="H33" s="26" t="s">
        <v>16</v>
      </c>
      <c r="I33" s="21">
        <v>0</v>
      </c>
      <c r="J33" s="26" t="s">
        <v>16</v>
      </c>
      <c r="K33" s="26">
        <v>0.567437</v>
      </c>
      <c r="L33" s="24" t="s">
        <v>113</v>
      </c>
      <c r="M33" s="21"/>
    </row>
    <row r="34" s="6" customFormat="1" ht="34" customHeight="1" spans="1:13">
      <c r="A34" s="26">
        <v>14</v>
      </c>
      <c r="B34" s="26" t="s">
        <v>328</v>
      </c>
      <c r="C34" s="26" t="s">
        <v>347</v>
      </c>
      <c r="D34" s="26" t="s">
        <v>348</v>
      </c>
      <c r="E34" s="24">
        <v>34.2296</v>
      </c>
      <c r="F34" s="25">
        <f t="shared" si="2"/>
        <v>1.0269</v>
      </c>
      <c r="G34" s="21">
        <v>0</v>
      </c>
      <c r="H34" s="26" t="s">
        <v>16</v>
      </c>
      <c r="I34" s="21">
        <v>0</v>
      </c>
      <c r="J34" s="26" t="s">
        <v>16</v>
      </c>
      <c r="K34" s="26">
        <v>1.0269</v>
      </c>
      <c r="L34" s="24" t="s">
        <v>113</v>
      </c>
      <c r="M34" s="21"/>
    </row>
    <row r="35" s="6" customFormat="1" ht="34" customHeight="1" spans="1:13">
      <c r="A35" s="26">
        <v>15</v>
      </c>
      <c r="B35" s="26" t="s">
        <v>325</v>
      </c>
      <c r="C35" s="26" t="s">
        <v>349</v>
      </c>
      <c r="D35" s="26" t="s">
        <v>350</v>
      </c>
      <c r="E35" s="24">
        <v>10.483884</v>
      </c>
      <c r="F35" s="25">
        <f t="shared" si="2"/>
        <v>0.314784</v>
      </c>
      <c r="G35" s="21">
        <v>0</v>
      </c>
      <c r="H35" s="26" t="s">
        <v>16</v>
      </c>
      <c r="I35" s="21">
        <v>0</v>
      </c>
      <c r="J35" s="26" t="s">
        <v>16</v>
      </c>
      <c r="K35" s="26">
        <v>0.314784</v>
      </c>
      <c r="L35" s="24" t="s">
        <v>113</v>
      </c>
      <c r="M35" s="21"/>
    </row>
    <row r="36" s="6" customFormat="1" ht="34" customHeight="1" spans="1:13">
      <c r="A36" s="26">
        <v>16</v>
      </c>
      <c r="B36" s="26" t="s">
        <v>325</v>
      </c>
      <c r="C36" s="26" t="s">
        <v>351</v>
      </c>
      <c r="D36" s="26" t="s">
        <v>352</v>
      </c>
      <c r="E36" s="24">
        <v>24.874312</v>
      </c>
      <c r="F36" s="25">
        <f t="shared" si="2"/>
        <v>0.746312</v>
      </c>
      <c r="G36" s="21">
        <v>0</v>
      </c>
      <c r="H36" s="26" t="s">
        <v>16</v>
      </c>
      <c r="I36" s="21">
        <v>0</v>
      </c>
      <c r="J36" s="26" t="s">
        <v>16</v>
      </c>
      <c r="K36" s="26">
        <v>0.746312</v>
      </c>
      <c r="L36" s="24" t="s">
        <v>113</v>
      </c>
      <c r="M36" s="21"/>
    </row>
    <row r="37" s="6" customFormat="1" ht="34" customHeight="1" spans="1:13">
      <c r="A37" s="26">
        <v>17</v>
      </c>
      <c r="B37" s="26" t="s">
        <v>325</v>
      </c>
      <c r="C37" s="26" t="s">
        <v>353</v>
      </c>
      <c r="D37" s="26" t="s">
        <v>354</v>
      </c>
      <c r="E37" s="24">
        <v>55.73608</v>
      </c>
      <c r="F37" s="25">
        <f t="shared" si="2"/>
        <v>1.67218</v>
      </c>
      <c r="G37" s="21">
        <v>0</v>
      </c>
      <c r="H37" s="26" t="s">
        <v>16</v>
      </c>
      <c r="I37" s="21">
        <v>0</v>
      </c>
      <c r="J37" s="26" t="s">
        <v>16</v>
      </c>
      <c r="K37" s="26">
        <v>1.67218</v>
      </c>
      <c r="L37" s="24" t="s">
        <v>113</v>
      </c>
      <c r="M37" s="21"/>
    </row>
    <row r="38" s="6" customFormat="1" ht="34" customHeight="1" spans="1:13">
      <c r="A38" s="26">
        <v>18</v>
      </c>
      <c r="B38" s="26" t="s">
        <v>325</v>
      </c>
      <c r="C38" s="26" t="s">
        <v>355</v>
      </c>
      <c r="D38" s="26" t="s">
        <v>356</v>
      </c>
      <c r="E38" s="24">
        <v>10.385398</v>
      </c>
      <c r="F38" s="25">
        <f t="shared" si="2"/>
        <v>0.311598</v>
      </c>
      <c r="G38" s="21">
        <v>0</v>
      </c>
      <c r="H38" s="26" t="s">
        <v>16</v>
      </c>
      <c r="I38" s="21">
        <v>0</v>
      </c>
      <c r="J38" s="26" t="s">
        <v>16</v>
      </c>
      <c r="K38" s="26">
        <v>0.311598</v>
      </c>
      <c r="L38" s="24" t="s">
        <v>113</v>
      </c>
      <c r="M38" s="21"/>
    </row>
    <row r="39" s="6" customFormat="1" ht="34" customHeight="1" spans="1:13">
      <c r="A39" s="26">
        <v>19</v>
      </c>
      <c r="B39" s="26" t="s">
        <v>325</v>
      </c>
      <c r="C39" s="26" t="s">
        <v>357</v>
      </c>
      <c r="D39" s="26" t="s">
        <v>358</v>
      </c>
      <c r="E39" s="24">
        <v>25.212095</v>
      </c>
      <c r="F39" s="25">
        <f t="shared" si="2"/>
        <v>0.756395000000001</v>
      </c>
      <c r="G39" s="21">
        <v>0</v>
      </c>
      <c r="H39" s="26" t="s">
        <v>16</v>
      </c>
      <c r="I39" s="21">
        <v>0</v>
      </c>
      <c r="J39" s="26" t="s">
        <v>16</v>
      </c>
      <c r="K39" s="26">
        <v>0.756395000000001</v>
      </c>
      <c r="L39" s="24" t="s">
        <v>113</v>
      </c>
      <c r="M39" s="21"/>
    </row>
    <row r="40" s="6" customFormat="1" ht="34" customHeight="1" spans="1:13">
      <c r="A40" s="26">
        <v>20</v>
      </c>
      <c r="B40" s="26" t="s">
        <v>325</v>
      </c>
      <c r="C40" s="26" t="s">
        <v>359</v>
      </c>
      <c r="D40" s="26" t="s">
        <v>360</v>
      </c>
      <c r="E40" s="24">
        <v>14.603118</v>
      </c>
      <c r="F40" s="25">
        <f t="shared" si="2"/>
        <v>0.438117999999999</v>
      </c>
      <c r="G40" s="21">
        <v>0</v>
      </c>
      <c r="H40" s="26" t="s">
        <v>16</v>
      </c>
      <c r="I40" s="21">
        <v>0</v>
      </c>
      <c r="J40" s="26" t="s">
        <v>16</v>
      </c>
      <c r="K40" s="26">
        <v>0.438117999999999</v>
      </c>
      <c r="L40" s="24" t="s">
        <v>113</v>
      </c>
      <c r="M40" s="21"/>
    </row>
    <row r="41" s="6" customFormat="1" ht="34" customHeight="1" spans="1:13">
      <c r="A41" s="26">
        <v>21</v>
      </c>
      <c r="B41" s="26" t="s">
        <v>325</v>
      </c>
      <c r="C41" s="26" t="s">
        <v>361</v>
      </c>
      <c r="D41" s="26" t="s">
        <v>362</v>
      </c>
      <c r="E41" s="24">
        <v>53.117636</v>
      </c>
      <c r="F41" s="25">
        <f t="shared" si="2"/>
        <v>1.593536</v>
      </c>
      <c r="G41" s="21">
        <v>0</v>
      </c>
      <c r="H41" s="26" t="s">
        <v>16</v>
      </c>
      <c r="I41" s="21">
        <v>0</v>
      </c>
      <c r="J41" s="26" t="s">
        <v>16</v>
      </c>
      <c r="K41" s="26">
        <v>1.593536</v>
      </c>
      <c r="L41" s="24" t="s">
        <v>113</v>
      </c>
      <c r="M41" s="21"/>
    </row>
    <row r="42" s="6" customFormat="1" ht="34" customHeight="1" spans="1:13">
      <c r="A42" s="26">
        <v>22</v>
      </c>
      <c r="B42" s="26" t="s">
        <v>363</v>
      </c>
      <c r="C42" s="26" t="s">
        <v>364</v>
      </c>
      <c r="D42" s="26" t="s">
        <v>365</v>
      </c>
      <c r="E42" s="24">
        <v>4.24</v>
      </c>
      <c r="F42" s="25">
        <f t="shared" si="2"/>
        <v>0.127098</v>
      </c>
      <c r="G42" s="21">
        <v>0</v>
      </c>
      <c r="H42" s="26" t="s">
        <v>16</v>
      </c>
      <c r="I42" s="21">
        <v>0</v>
      </c>
      <c r="J42" s="26" t="s">
        <v>16</v>
      </c>
      <c r="K42" s="21">
        <v>0.127098</v>
      </c>
      <c r="L42" s="24" t="s">
        <v>113</v>
      </c>
      <c r="M42" s="21"/>
    </row>
    <row r="43" s="6" customFormat="1" ht="34" customHeight="1" spans="1:13">
      <c r="A43" s="26">
        <v>23</v>
      </c>
      <c r="B43" s="26" t="s">
        <v>363</v>
      </c>
      <c r="C43" s="26" t="s">
        <v>366</v>
      </c>
      <c r="D43" s="26" t="s">
        <v>367</v>
      </c>
      <c r="E43" s="24">
        <v>41.76</v>
      </c>
      <c r="F43" s="25">
        <f t="shared" si="2"/>
        <v>1.252869</v>
      </c>
      <c r="G43" s="21">
        <v>0</v>
      </c>
      <c r="H43" s="26" t="s">
        <v>16</v>
      </c>
      <c r="I43" s="21">
        <v>0</v>
      </c>
      <c r="J43" s="26" t="s">
        <v>16</v>
      </c>
      <c r="K43" s="21">
        <v>1.252869</v>
      </c>
      <c r="L43" s="24" t="s">
        <v>113</v>
      </c>
      <c r="M43" s="21"/>
    </row>
    <row r="44" s="6" customFormat="1" ht="34" customHeight="1" spans="1:13">
      <c r="A44" s="26">
        <v>24</v>
      </c>
      <c r="B44" s="26" t="s">
        <v>312</v>
      </c>
      <c r="C44" s="26" t="s">
        <v>368</v>
      </c>
      <c r="D44" s="26" t="s">
        <v>369</v>
      </c>
      <c r="E44" s="24">
        <v>36.84</v>
      </c>
      <c r="F44" s="25">
        <f t="shared" si="2"/>
        <v>1.107454</v>
      </c>
      <c r="G44" s="21">
        <v>0</v>
      </c>
      <c r="H44" s="26" t="s">
        <v>16</v>
      </c>
      <c r="I44" s="21">
        <v>0</v>
      </c>
      <c r="J44" s="26" t="s">
        <v>16</v>
      </c>
      <c r="K44" s="21">
        <v>1.107454</v>
      </c>
      <c r="L44" s="24" t="s">
        <v>113</v>
      </c>
      <c r="M44" s="21"/>
    </row>
    <row r="45" s="6" customFormat="1" ht="34" customHeight="1" spans="1:13">
      <c r="A45" s="26">
        <v>25</v>
      </c>
      <c r="B45" s="26" t="s">
        <v>312</v>
      </c>
      <c r="C45" s="26" t="s">
        <v>370</v>
      </c>
      <c r="D45" s="26" t="s">
        <v>371</v>
      </c>
      <c r="E45" s="24">
        <v>146.28</v>
      </c>
      <c r="F45" s="25">
        <f t="shared" si="2"/>
        <v>4.38993</v>
      </c>
      <c r="G45" s="21">
        <v>0</v>
      </c>
      <c r="H45" s="26" t="s">
        <v>16</v>
      </c>
      <c r="I45" s="21">
        <v>0</v>
      </c>
      <c r="J45" s="26" t="s">
        <v>16</v>
      </c>
      <c r="K45" s="21">
        <v>4.38993</v>
      </c>
      <c r="L45" s="24" t="s">
        <v>113</v>
      </c>
      <c r="M45" s="21"/>
    </row>
    <row r="46" s="6" customFormat="1" ht="34" customHeight="1" spans="1:13">
      <c r="A46" s="26">
        <v>26</v>
      </c>
      <c r="B46" s="26" t="s">
        <v>312</v>
      </c>
      <c r="C46" s="26" t="s">
        <v>372</v>
      </c>
      <c r="D46" s="26" t="s">
        <v>373</v>
      </c>
      <c r="E46" s="24">
        <v>35.63</v>
      </c>
      <c r="F46" s="25">
        <f t="shared" si="2"/>
        <v>1.074058</v>
      </c>
      <c r="G46" s="21">
        <v>0</v>
      </c>
      <c r="H46" s="26" t="s">
        <v>16</v>
      </c>
      <c r="I46" s="21">
        <v>0</v>
      </c>
      <c r="J46" s="26" t="s">
        <v>16</v>
      </c>
      <c r="K46" s="21">
        <v>1.074058</v>
      </c>
      <c r="L46" s="24" t="s">
        <v>113</v>
      </c>
      <c r="M46" s="21"/>
    </row>
    <row r="47" s="4" customFormat="1" ht="30" customHeight="1" spans="1:13">
      <c r="A47" s="20" t="s">
        <v>54</v>
      </c>
      <c r="B47" s="20"/>
      <c r="C47" s="20"/>
      <c r="D47" s="20" t="s">
        <v>80</v>
      </c>
      <c r="E47" s="20">
        <f>E48</f>
        <v>108.783455</v>
      </c>
      <c r="F47" s="29">
        <f t="shared" si="2"/>
        <v>108.783455</v>
      </c>
      <c r="G47" s="20">
        <f>G48</f>
        <v>0</v>
      </c>
      <c r="H47" s="20"/>
      <c r="I47" s="20">
        <f>I48</f>
        <v>0</v>
      </c>
      <c r="J47" s="20"/>
      <c r="K47" s="20">
        <f>K48</f>
        <v>108.783455</v>
      </c>
      <c r="L47" s="26"/>
      <c r="M47" s="26"/>
    </row>
    <row r="48" s="4" customFormat="1" ht="41" customHeight="1" spans="1:16206">
      <c r="A48" s="26">
        <v>1</v>
      </c>
      <c r="B48" s="27" t="s">
        <v>293</v>
      </c>
      <c r="C48" s="28" t="s">
        <v>54</v>
      </c>
      <c r="D48" s="26" t="s">
        <v>16</v>
      </c>
      <c r="E48" s="26">
        <v>108.783455</v>
      </c>
      <c r="F48" s="21">
        <f t="shared" si="2"/>
        <v>108.783455</v>
      </c>
      <c r="G48" s="26">
        <v>0</v>
      </c>
      <c r="H48" s="26" t="s">
        <v>16</v>
      </c>
      <c r="I48" s="26">
        <v>0</v>
      </c>
      <c r="J48" s="26" t="s">
        <v>16</v>
      </c>
      <c r="K48" s="26">
        <v>108.783455</v>
      </c>
      <c r="L48" s="24" t="s">
        <v>113</v>
      </c>
      <c r="M48" s="26"/>
      <c r="WYG48" s="6"/>
      <c r="WYH48" s="6"/>
    </row>
  </sheetData>
  <mergeCells count="16">
    <mergeCell ref="A1:B1"/>
    <mergeCell ref="A2:M2"/>
    <mergeCell ref="A3:M3"/>
    <mergeCell ref="F4:L4"/>
    <mergeCell ref="B6:C6"/>
    <mergeCell ref="A7:C7"/>
    <mergeCell ref="A11:C11"/>
    <mergeCell ref="A14:C14"/>
    <mergeCell ref="A20:C20"/>
    <mergeCell ref="A47:C4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5"/>
  <pageSetup paperSize="9" scale="61" fitToHeight="0" orientation="portrait" horizontalDpi="600"/>
  <headerFooter/>
  <ignoredErrors>
    <ignoredError sqref="F11 F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view="pageBreakPreview" zoomScale="80" zoomScaleNormal="70" workbookViewId="0">
      <pane ySplit="6" topLeftCell="A7" activePane="bottomLeft" state="frozen"/>
      <selection/>
      <selection pane="bottomLeft" activeCell="F6" sqref="F6"/>
    </sheetView>
  </sheetViews>
  <sheetFormatPr defaultColWidth="9" defaultRowHeight="15.6"/>
  <cols>
    <col min="1" max="1" width="5.62037037037037" style="1" customWidth="1"/>
    <col min="2" max="2" width="16.1111111111111" style="1" customWidth="1"/>
    <col min="3" max="3" width="20.4722222222222" style="1" customWidth="1"/>
    <col min="4" max="4" width="21.2592592592593" style="1" customWidth="1"/>
    <col min="5" max="5" width="14.0555555555556" style="1" customWidth="1"/>
    <col min="6" max="6" width="13.287037037037" style="1" customWidth="1"/>
    <col min="7" max="7" width="11.3703703703704" style="1" customWidth="1"/>
    <col min="8" max="8" width="12.4907407407407" style="1" customWidth="1"/>
    <col min="9" max="9" width="13.3240740740741" style="1" customWidth="1"/>
    <col min="10" max="10" width="12.0277777777778" style="1" customWidth="1"/>
    <col min="11" max="11" width="11.3703703703704" style="1" customWidth="1"/>
    <col min="12" max="12" width="13.75" style="1" customWidth="1"/>
    <col min="13" max="13" width="6.87037037037037" style="1" customWidth="1"/>
    <col min="14" max="14" width="11.5" style="1"/>
    <col min="15" max="15" width="13.4907407407407" style="1" customWidth="1"/>
    <col min="16" max="16384" width="9" style="1"/>
  </cols>
  <sheetData>
    <row r="1" s="1" customFormat="1" ht="32" customHeight="1" spans="1:10">
      <c r="A1" s="1" t="s">
        <v>374</v>
      </c>
      <c r="F1" s="10"/>
      <c r="H1" s="23"/>
      <c r="J1" s="23"/>
    </row>
    <row r="2" s="3" customFormat="1" ht="35.1" customHeight="1" spans="1:13">
      <c r="A2" s="117" t="s">
        <v>375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="1" customFormat="1" ht="33" customHeight="1" spans="1:13">
      <c r="A3" s="118" t="s">
        <v>376</v>
      </c>
      <c r="B3" s="118"/>
      <c r="C3" s="118"/>
      <c r="D3" s="118"/>
      <c r="E3" s="118"/>
      <c r="F3" s="118"/>
      <c r="G3" s="118"/>
      <c r="H3" s="119"/>
      <c r="I3" s="118"/>
      <c r="J3" s="119"/>
      <c r="K3" s="118"/>
      <c r="L3" s="118"/>
      <c r="M3" s="118"/>
    </row>
    <row r="4" s="3" customFormat="1" ht="26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3" customFormat="1" ht="33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7" customFormat="1" ht="28" customHeight="1" spans="1:13">
      <c r="A6" s="19">
        <f>A8+A11+A20+A38+A40</f>
        <v>29</v>
      </c>
      <c r="B6" s="106" t="s">
        <v>282</v>
      </c>
      <c r="C6" s="106"/>
      <c r="D6" s="19"/>
      <c r="E6" s="19">
        <f>E9+E12+E21+E39</f>
        <v>2727.712377</v>
      </c>
      <c r="F6" s="20">
        <f t="shared" ref="F6:F8" si="0">G6+I6+K6</f>
        <v>1864.210425</v>
      </c>
      <c r="G6" s="20">
        <f>G7+G9+G12+G21+G39</f>
        <v>1247.583614</v>
      </c>
      <c r="H6" s="20"/>
      <c r="I6" s="20">
        <f>I7+I9+I12+I21+I39</f>
        <v>522.923261</v>
      </c>
      <c r="J6" s="20"/>
      <c r="K6" s="20">
        <f>K7+K9+K12+K21+K39</f>
        <v>93.70355</v>
      </c>
      <c r="L6" s="20"/>
      <c r="M6" s="20"/>
    </row>
    <row r="7" s="7" customFormat="1" ht="30" customHeight="1" spans="1:13">
      <c r="A7" s="33" t="s">
        <v>82</v>
      </c>
      <c r="B7" s="34"/>
      <c r="C7" s="35"/>
      <c r="D7" s="20" t="s">
        <v>80</v>
      </c>
      <c r="E7" s="20">
        <f>SUM(E8:E8)</f>
        <v>1000</v>
      </c>
      <c r="F7" s="42">
        <f t="shared" si="0"/>
        <v>1000</v>
      </c>
      <c r="G7" s="20">
        <f>G8</f>
        <v>1000</v>
      </c>
      <c r="H7" s="20"/>
      <c r="I7" s="20">
        <f>I8</f>
        <v>0</v>
      </c>
      <c r="J7" s="20"/>
      <c r="K7" s="20">
        <f>K8</f>
        <v>0</v>
      </c>
      <c r="L7" s="20"/>
      <c r="M7" s="20"/>
    </row>
    <row r="8" s="7" customFormat="1" ht="96" customHeight="1" spans="1:13">
      <c r="A8" s="92">
        <v>1</v>
      </c>
      <c r="B8" s="22" t="s">
        <v>377</v>
      </c>
      <c r="C8" s="93" t="s">
        <v>378</v>
      </c>
      <c r="D8" s="93" t="s">
        <v>379</v>
      </c>
      <c r="E8" s="93">
        <v>1000</v>
      </c>
      <c r="F8" s="26">
        <f t="shared" si="0"/>
        <v>1000</v>
      </c>
      <c r="G8" s="21">
        <v>1000</v>
      </c>
      <c r="H8" s="22" t="s">
        <v>63</v>
      </c>
      <c r="I8" s="21">
        <v>0</v>
      </c>
      <c r="J8" s="110"/>
      <c r="K8" s="21">
        <v>0</v>
      </c>
      <c r="L8" s="21" t="s">
        <v>16</v>
      </c>
      <c r="M8" s="110"/>
    </row>
    <row r="9" s="7" customFormat="1" ht="30" customHeight="1" spans="1:13">
      <c r="A9" s="20" t="s">
        <v>98</v>
      </c>
      <c r="B9" s="20"/>
      <c r="C9" s="20"/>
      <c r="D9" s="20" t="s">
        <v>80</v>
      </c>
      <c r="E9" s="42">
        <f>E10+E11</f>
        <v>98.1365</v>
      </c>
      <c r="F9" s="20">
        <f t="shared" ref="F9:F22" si="1">G9+I9+K9</f>
        <v>98.1365</v>
      </c>
      <c r="G9" s="20">
        <f>G10+G11</f>
        <v>87.7975</v>
      </c>
      <c r="H9" s="20"/>
      <c r="I9" s="20">
        <f>I10+I11</f>
        <v>10.339</v>
      </c>
      <c r="J9" s="20"/>
      <c r="K9" s="20">
        <f>K10+K11</f>
        <v>0</v>
      </c>
      <c r="L9" s="20"/>
      <c r="M9" s="20"/>
    </row>
    <row r="10" s="4" customFormat="1" ht="31" customHeight="1" spans="1:13">
      <c r="A10" s="26">
        <v>1</v>
      </c>
      <c r="B10" s="26" t="s">
        <v>380</v>
      </c>
      <c r="C10" s="26" t="s">
        <v>100</v>
      </c>
      <c r="D10" s="22" t="s">
        <v>101</v>
      </c>
      <c r="E10" s="96">
        <v>16.0365</v>
      </c>
      <c r="F10" s="26">
        <f t="shared" si="1"/>
        <v>16.0365</v>
      </c>
      <c r="G10" s="96">
        <v>16.0365</v>
      </c>
      <c r="H10" s="22" t="s">
        <v>63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4" customFormat="1" ht="54" customHeight="1" spans="1:13">
      <c r="A11" s="26">
        <v>2</v>
      </c>
      <c r="B11" s="26" t="s">
        <v>380</v>
      </c>
      <c r="C11" s="26" t="s">
        <v>102</v>
      </c>
      <c r="D11" s="26" t="s">
        <v>103</v>
      </c>
      <c r="E11" s="93">
        <v>82.1</v>
      </c>
      <c r="F11" s="26">
        <f t="shared" si="1"/>
        <v>82.1</v>
      </c>
      <c r="G11" s="26">
        <v>71.761</v>
      </c>
      <c r="H11" s="22" t="s">
        <v>63</v>
      </c>
      <c r="I11" s="26">
        <f>8.439+1.9</f>
        <v>10.339</v>
      </c>
      <c r="J11" s="123" t="s">
        <v>381</v>
      </c>
      <c r="K11" s="26">
        <v>0</v>
      </c>
      <c r="L11" s="26" t="s">
        <v>16</v>
      </c>
      <c r="M11" s="26"/>
    </row>
    <row r="12" s="7" customFormat="1" ht="30" customHeight="1" spans="1:13">
      <c r="A12" s="39" t="s">
        <v>105</v>
      </c>
      <c r="B12" s="40"/>
      <c r="C12" s="41"/>
      <c r="D12" s="40" t="s">
        <v>80</v>
      </c>
      <c r="E12" s="20">
        <f>SUM(E13:E20)</f>
        <v>644.813981</v>
      </c>
      <c r="F12" s="20">
        <f>F13+F14+F15+F16+F17+F18+F19+F20</f>
        <v>501.948074</v>
      </c>
      <c r="G12" s="20">
        <f>G13+G14+G15+G16+G17+G18+G19+G20</f>
        <v>159.786114</v>
      </c>
      <c r="H12" s="20"/>
      <c r="I12" s="20">
        <f>I13+I14+I15+I16+I17+I18+I19+I20</f>
        <v>319.191648</v>
      </c>
      <c r="J12" s="20"/>
      <c r="K12" s="20">
        <f>K13+K14+K15+K16+K17+K18+K19+K20</f>
        <v>22.970312</v>
      </c>
      <c r="L12" s="20"/>
      <c r="M12" s="20"/>
    </row>
    <row r="13" s="116" customFormat="1" ht="42" customHeight="1" spans="1:13">
      <c r="A13" s="22">
        <v>1</v>
      </c>
      <c r="B13" s="22" t="s">
        <v>382</v>
      </c>
      <c r="C13" s="25" t="s">
        <v>383</v>
      </c>
      <c r="D13" s="25" t="s">
        <v>384</v>
      </c>
      <c r="E13" s="20">
        <v>84.023157</v>
      </c>
      <c r="F13" s="26">
        <f t="shared" si="1"/>
        <v>66.79841</v>
      </c>
      <c r="G13" s="30">
        <f>66.79841</f>
        <v>66.79841</v>
      </c>
      <c r="H13" s="22" t="s">
        <v>63</v>
      </c>
      <c r="I13" s="26">
        <v>0</v>
      </c>
      <c r="J13" s="26" t="s">
        <v>16</v>
      </c>
      <c r="K13" s="26"/>
      <c r="L13" s="22"/>
      <c r="M13" s="20"/>
    </row>
    <row r="14" s="116" customFormat="1" ht="42" customHeight="1" spans="1:15">
      <c r="A14" s="22">
        <v>2</v>
      </c>
      <c r="B14" s="22" t="s">
        <v>385</v>
      </c>
      <c r="C14" s="25" t="s">
        <v>386</v>
      </c>
      <c r="D14" s="25" t="s">
        <v>387</v>
      </c>
      <c r="E14" s="20">
        <v>64.984681</v>
      </c>
      <c r="F14" s="26">
        <f t="shared" si="1"/>
        <v>51.987704</v>
      </c>
      <c r="G14" s="30">
        <v>51.987704</v>
      </c>
      <c r="H14" s="22" t="s">
        <v>63</v>
      </c>
      <c r="I14" s="26">
        <v>0</v>
      </c>
      <c r="J14" s="26" t="s">
        <v>16</v>
      </c>
      <c r="K14" s="26">
        <v>0</v>
      </c>
      <c r="L14" s="26" t="s">
        <v>16</v>
      </c>
      <c r="M14" s="20"/>
      <c r="O14" s="124"/>
    </row>
    <row r="15" s="116" customFormat="1" ht="39" customHeight="1" spans="1:15">
      <c r="A15" s="22">
        <v>3</v>
      </c>
      <c r="B15" s="22" t="s">
        <v>385</v>
      </c>
      <c r="C15" s="25" t="s">
        <v>388</v>
      </c>
      <c r="D15" s="25" t="s">
        <v>387</v>
      </c>
      <c r="E15" s="20">
        <v>59.631377</v>
      </c>
      <c r="F15" s="26">
        <f t="shared" si="1"/>
        <v>45.617913</v>
      </c>
      <c r="G15" s="26">
        <v>0</v>
      </c>
      <c r="H15" s="26" t="s">
        <v>16</v>
      </c>
      <c r="I15" s="30">
        <v>34.210762</v>
      </c>
      <c r="J15" s="26" t="s">
        <v>389</v>
      </c>
      <c r="K15" s="26">
        <f>12.224522-0.817371</f>
        <v>11.407151</v>
      </c>
      <c r="L15" s="22" t="s">
        <v>159</v>
      </c>
      <c r="M15" s="20"/>
      <c r="O15" s="124"/>
    </row>
    <row r="16" s="116" customFormat="1" ht="39" customHeight="1" spans="1:13">
      <c r="A16" s="22">
        <v>4</v>
      </c>
      <c r="B16" s="22" t="s">
        <v>385</v>
      </c>
      <c r="C16" s="25" t="s">
        <v>390</v>
      </c>
      <c r="D16" s="25" t="s">
        <v>391</v>
      </c>
      <c r="E16" s="20">
        <v>160.477482</v>
      </c>
      <c r="F16" s="26">
        <f t="shared" si="1"/>
        <v>122.765244</v>
      </c>
      <c r="G16" s="26">
        <f>15+26</f>
        <v>41</v>
      </c>
      <c r="H16" s="22" t="s">
        <v>63</v>
      </c>
      <c r="I16" s="26">
        <f>57+38-13.234756</f>
        <v>81.765244</v>
      </c>
      <c r="J16" s="26" t="s">
        <v>392</v>
      </c>
      <c r="K16" s="26">
        <v>0</v>
      </c>
      <c r="L16" s="26" t="s">
        <v>16</v>
      </c>
      <c r="M16" s="20"/>
    </row>
    <row r="17" s="116" customFormat="1" ht="39" customHeight="1" spans="1:13">
      <c r="A17" s="22">
        <v>5</v>
      </c>
      <c r="B17" s="22" t="s">
        <v>385</v>
      </c>
      <c r="C17" s="25" t="s">
        <v>393</v>
      </c>
      <c r="D17" s="25" t="s">
        <v>394</v>
      </c>
      <c r="E17" s="20">
        <v>100.121553</v>
      </c>
      <c r="F17" s="26">
        <f t="shared" si="1"/>
        <v>76.436465</v>
      </c>
      <c r="G17" s="26">
        <v>0</v>
      </c>
      <c r="H17" s="26" t="s">
        <v>16</v>
      </c>
      <c r="I17" s="30">
        <v>76.436465</v>
      </c>
      <c r="J17" s="26" t="s">
        <v>395</v>
      </c>
      <c r="K17" s="26">
        <v>0</v>
      </c>
      <c r="L17" s="26" t="s">
        <v>16</v>
      </c>
      <c r="M17" s="20"/>
    </row>
    <row r="18" s="116" customFormat="1" ht="79" customHeight="1" spans="1:13">
      <c r="A18" s="22">
        <v>6</v>
      </c>
      <c r="B18" s="22" t="s">
        <v>396</v>
      </c>
      <c r="C18" s="25" t="s">
        <v>397</v>
      </c>
      <c r="D18" s="25" t="s">
        <v>398</v>
      </c>
      <c r="E18" s="20">
        <v>56.405463</v>
      </c>
      <c r="F18" s="26">
        <f t="shared" si="1"/>
        <v>43.150138</v>
      </c>
      <c r="G18" s="26">
        <v>0</v>
      </c>
      <c r="H18" s="26" t="s">
        <v>16</v>
      </c>
      <c r="I18" s="30">
        <v>31.586977</v>
      </c>
      <c r="J18" s="26" t="s">
        <v>399</v>
      </c>
      <c r="K18" s="26">
        <v>11.563161</v>
      </c>
      <c r="L18" s="22" t="s">
        <v>159</v>
      </c>
      <c r="M18" s="20"/>
    </row>
    <row r="19" s="7" customFormat="1" ht="47" customHeight="1" spans="1:13">
      <c r="A19" s="22">
        <v>7</v>
      </c>
      <c r="B19" s="22" t="s">
        <v>400</v>
      </c>
      <c r="C19" s="26" t="s">
        <v>401</v>
      </c>
      <c r="D19" s="26" t="s">
        <v>402</v>
      </c>
      <c r="E19" s="20">
        <v>88.990268</v>
      </c>
      <c r="F19" s="26">
        <f t="shared" si="1"/>
        <v>71.1922</v>
      </c>
      <c r="G19" s="26">
        <v>0</v>
      </c>
      <c r="H19" s="26" t="s">
        <v>16</v>
      </c>
      <c r="I19" s="30">
        <v>71.1922</v>
      </c>
      <c r="J19" s="26" t="s">
        <v>117</v>
      </c>
      <c r="K19" s="26">
        <v>0</v>
      </c>
      <c r="L19" s="26" t="s">
        <v>16</v>
      </c>
      <c r="M19" s="20"/>
    </row>
    <row r="20" s="7" customFormat="1" ht="87" customHeight="1" spans="1:13">
      <c r="A20" s="22">
        <v>8</v>
      </c>
      <c r="B20" s="26" t="s">
        <v>382</v>
      </c>
      <c r="C20" s="26" t="s">
        <v>403</v>
      </c>
      <c r="D20" s="26" t="s">
        <v>404</v>
      </c>
      <c r="E20" s="20">
        <v>30.18</v>
      </c>
      <c r="F20" s="26">
        <f t="shared" si="1"/>
        <v>24</v>
      </c>
      <c r="G20" s="26">
        <v>0</v>
      </c>
      <c r="H20" s="26" t="s">
        <v>16</v>
      </c>
      <c r="I20" s="21">
        <v>24</v>
      </c>
      <c r="J20" s="26" t="s">
        <v>117</v>
      </c>
      <c r="K20" s="26">
        <v>0</v>
      </c>
      <c r="L20" s="26" t="s">
        <v>16</v>
      </c>
      <c r="M20" s="20"/>
    </row>
    <row r="21" s="105" customFormat="1" ht="36" customHeight="1" spans="1:13">
      <c r="A21" s="19" t="s">
        <v>124</v>
      </c>
      <c r="B21" s="19"/>
      <c r="C21" s="19"/>
      <c r="D21" s="19" t="s">
        <v>80</v>
      </c>
      <c r="E21" s="19">
        <f>SUM(E22:E38)</f>
        <v>1914.028658</v>
      </c>
      <c r="F21" s="19">
        <f t="shared" si="1"/>
        <v>193.392613</v>
      </c>
      <c r="G21" s="19">
        <f t="shared" ref="F21:K21" si="2">SUM(G22:G38)</f>
        <v>0</v>
      </c>
      <c r="H21" s="19"/>
      <c r="I21" s="19">
        <f t="shared" si="2"/>
        <v>193.392613</v>
      </c>
      <c r="J21" s="19"/>
      <c r="K21" s="19">
        <f t="shared" si="2"/>
        <v>0</v>
      </c>
      <c r="L21" s="42"/>
      <c r="M21" s="42"/>
    </row>
    <row r="22" s="23" customFormat="1" ht="35" customHeight="1" spans="1:13">
      <c r="A22" s="26">
        <v>1</v>
      </c>
      <c r="B22" s="22" t="s">
        <v>405</v>
      </c>
      <c r="C22" s="26" t="s">
        <v>406</v>
      </c>
      <c r="D22" s="22" t="s">
        <v>407</v>
      </c>
      <c r="E22" s="26">
        <v>198.624029</v>
      </c>
      <c r="F22" s="25">
        <f t="shared" ref="F22:F40" si="3">G22+I22+K22</f>
        <v>5.958729</v>
      </c>
      <c r="G22" s="26">
        <v>0</v>
      </c>
      <c r="H22" s="26" t="s">
        <v>16</v>
      </c>
      <c r="I22" s="22">
        <v>5.958729</v>
      </c>
      <c r="J22" s="22" t="s">
        <v>89</v>
      </c>
      <c r="K22" s="26">
        <v>0</v>
      </c>
      <c r="L22" s="26" t="s">
        <v>16</v>
      </c>
      <c r="M22" s="22"/>
    </row>
    <row r="23" s="23" customFormat="1" ht="35" customHeight="1" spans="1:13">
      <c r="A23" s="26">
        <v>2</v>
      </c>
      <c r="B23" s="22" t="s">
        <v>405</v>
      </c>
      <c r="C23" s="26" t="s">
        <v>408</v>
      </c>
      <c r="D23" s="22" t="s">
        <v>409</v>
      </c>
      <c r="E23" s="26">
        <v>167.107409</v>
      </c>
      <c r="F23" s="25">
        <f t="shared" si="3"/>
        <v>5.095409</v>
      </c>
      <c r="G23" s="26">
        <v>0</v>
      </c>
      <c r="H23" s="26" t="s">
        <v>16</v>
      </c>
      <c r="I23" s="22">
        <v>5.095409</v>
      </c>
      <c r="J23" s="22" t="s">
        <v>89</v>
      </c>
      <c r="K23" s="26">
        <v>0</v>
      </c>
      <c r="L23" s="26" t="s">
        <v>16</v>
      </c>
      <c r="M23" s="22"/>
    </row>
    <row r="24" s="23" customFormat="1" ht="35" customHeight="1" spans="1:13">
      <c r="A24" s="26">
        <v>3</v>
      </c>
      <c r="B24" s="22" t="s">
        <v>410</v>
      </c>
      <c r="C24" s="26" t="s">
        <v>411</v>
      </c>
      <c r="D24" s="22" t="s">
        <v>412</v>
      </c>
      <c r="E24" s="26">
        <v>77.311867</v>
      </c>
      <c r="F24" s="25">
        <f t="shared" si="3"/>
        <v>2.030567</v>
      </c>
      <c r="G24" s="26">
        <v>0</v>
      </c>
      <c r="H24" s="26" t="s">
        <v>16</v>
      </c>
      <c r="I24" s="22">
        <v>2.030567</v>
      </c>
      <c r="J24" s="22" t="s">
        <v>89</v>
      </c>
      <c r="K24" s="26">
        <v>0</v>
      </c>
      <c r="L24" s="26" t="s">
        <v>16</v>
      </c>
      <c r="M24" s="22"/>
    </row>
    <row r="25" s="23" customFormat="1" ht="35" customHeight="1" spans="1:13">
      <c r="A25" s="26">
        <v>4</v>
      </c>
      <c r="B25" s="22" t="s">
        <v>410</v>
      </c>
      <c r="C25" s="26" t="s">
        <v>413</v>
      </c>
      <c r="D25" s="22" t="s">
        <v>414</v>
      </c>
      <c r="E25" s="26">
        <v>102.69111</v>
      </c>
      <c r="F25" s="25">
        <f t="shared" si="3"/>
        <v>7.92561</v>
      </c>
      <c r="G25" s="26">
        <v>0</v>
      </c>
      <c r="H25" s="26" t="s">
        <v>16</v>
      </c>
      <c r="I25" s="22">
        <v>7.92561</v>
      </c>
      <c r="J25" s="22" t="s">
        <v>89</v>
      </c>
      <c r="K25" s="26">
        <v>0</v>
      </c>
      <c r="L25" s="26" t="s">
        <v>16</v>
      </c>
      <c r="M25" s="22"/>
    </row>
    <row r="26" s="23" customFormat="1" ht="35" customHeight="1" spans="1:13">
      <c r="A26" s="26">
        <v>5</v>
      </c>
      <c r="B26" s="22" t="s">
        <v>410</v>
      </c>
      <c r="C26" s="22" t="s">
        <v>415</v>
      </c>
      <c r="D26" s="22" t="s">
        <v>416</v>
      </c>
      <c r="E26" s="26">
        <v>85.248719</v>
      </c>
      <c r="F26" s="25">
        <f t="shared" si="3"/>
        <v>0.353819</v>
      </c>
      <c r="G26" s="26">
        <v>0</v>
      </c>
      <c r="H26" s="26" t="s">
        <v>16</v>
      </c>
      <c r="I26" s="22">
        <v>0.353819</v>
      </c>
      <c r="J26" s="22" t="s">
        <v>89</v>
      </c>
      <c r="K26" s="26">
        <v>0</v>
      </c>
      <c r="L26" s="26" t="s">
        <v>16</v>
      </c>
      <c r="M26" s="22"/>
    </row>
    <row r="27" s="23" customFormat="1" ht="35" customHeight="1" spans="1:13">
      <c r="A27" s="26">
        <v>6</v>
      </c>
      <c r="B27" s="22" t="s">
        <v>410</v>
      </c>
      <c r="C27" s="22" t="s">
        <v>417</v>
      </c>
      <c r="D27" s="22" t="s">
        <v>418</v>
      </c>
      <c r="E27" s="26">
        <v>15.745498</v>
      </c>
      <c r="F27" s="25">
        <f t="shared" si="3"/>
        <v>0.472398</v>
      </c>
      <c r="G27" s="26">
        <v>0</v>
      </c>
      <c r="H27" s="26" t="s">
        <v>16</v>
      </c>
      <c r="I27" s="22">
        <v>0.472398</v>
      </c>
      <c r="J27" s="22" t="s">
        <v>89</v>
      </c>
      <c r="K27" s="26">
        <v>0</v>
      </c>
      <c r="L27" s="26" t="s">
        <v>16</v>
      </c>
      <c r="M27" s="22"/>
    </row>
    <row r="28" s="23" customFormat="1" ht="35" customHeight="1" spans="1:13">
      <c r="A28" s="26">
        <v>7</v>
      </c>
      <c r="B28" s="22" t="s">
        <v>419</v>
      </c>
      <c r="C28" s="22" t="s">
        <v>420</v>
      </c>
      <c r="D28" s="22" t="s">
        <v>421</v>
      </c>
      <c r="E28" s="26">
        <v>154.956351</v>
      </c>
      <c r="F28" s="25">
        <f t="shared" si="3"/>
        <v>2.214051</v>
      </c>
      <c r="G28" s="26">
        <v>0</v>
      </c>
      <c r="H28" s="26" t="s">
        <v>16</v>
      </c>
      <c r="I28" s="22">
        <v>2.214051</v>
      </c>
      <c r="J28" s="22" t="s">
        <v>89</v>
      </c>
      <c r="K28" s="26">
        <v>0</v>
      </c>
      <c r="L28" s="26" t="s">
        <v>16</v>
      </c>
      <c r="M28" s="22"/>
    </row>
    <row r="29" s="23" customFormat="1" ht="35" customHeight="1" spans="1:13">
      <c r="A29" s="26">
        <v>8</v>
      </c>
      <c r="B29" s="26" t="s">
        <v>405</v>
      </c>
      <c r="C29" s="22" t="s">
        <v>408</v>
      </c>
      <c r="D29" s="22" t="s">
        <v>422</v>
      </c>
      <c r="E29" s="26">
        <v>57.525693</v>
      </c>
      <c r="F29" s="25">
        <f t="shared" si="3"/>
        <v>1.725793</v>
      </c>
      <c r="G29" s="26">
        <v>0</v>
      </c>
      <c r="H29" s="26" t="s">
        <v>16</v>
      </c>
      <c r="I29" s="22">
        <v>1.725793</v>
      </c>
      <c r="J29" s="22" t="s">
        <v>89</v>
      </c>
      <c r="K29" s="26">
        <v>0</v>
      </c>
      <c r="L29" s="26" t="s">
        <v>16</v>
      </c>
      <c r="M29" s="22"/>
    </row>
    <row r="30" s="23" customFormat="1" ht="40" customHeight="1" spans="1:13">
      <c r="A30" s="26">
        <v>9</v>
      </c>
      <c r="B30" s="22" t="s">
        <v>410</v>
      </c>
      <c r="C30" s="22" t="s">
        <v>423</v>
      </c>
      <c r="D30" s="22" t="s">
        <v>424</v>
      </c>
      <c r="E30" s="26">
        <v>66.298146</v>
      </c>
      <c r="F30" s="25">
        <f t="shared" si="3"/>
        <v>1.988946</v>
      </c>
      <c r="G30" s="26">
        <v>0</v>
      </c>
      <c r="H30" s="26" t="s">
        <v>16</v>
      </c>
      <c r="I30" s="22">
        <v>1.988946</v>
      </c>
      <c r="J30" s="22" t="s">
        <v>89</v>
      </c>
      <c r="K30" s="26">
        <v>0</v>
      </c>
      <c r="L30" s="26" t="s">
        <v>16</v>
      </c>
      <c r="M30" s="22"/>
    </row>
    <row r="31" s="23" customFormat="1" ht="40" customHeight="1" spans="1:13">
      <c r="A31" s="26">
        <v>10</v>
      </c>
      <c r="B31" s="22" t="s">
        <v>410</v>
      </c>
      <c r="C31" s="22" t="s">
        <v>425</v>
      </c>
      <c r="D31" s="22" t="s">
        <v>426</v>
      </c>
      <c r="E31" s="26">
        <v>62.171581</v>
      </c>
      <c r="F31" s="25">
        <f t="shared" si="3"/>
        <v>1.865181</v>
      </c>
      <c r="G31" s="26">
        <v>0</v>
      </c>
      <c r="H31" s="26" t="s">
        <v>16</v>
      </c>
      <c r="I31" s="22">
        <v>1.865181</v>
      </c>
      <c r="J31" s="22" t="s">
        <v>89</v>
      </c>
      <c r="K31" s="26">
        <v>0</v>
      </c>
      <c r="L31" s="26" t="s">
        <v>16</v>
      </c>
      <c r="M31" s="22"/>
    </row>
    <row r="32" s="23" customFormat="1" ht="40" customHeight="1" spans="1:13">
      <c r="A32" s="26">
        <v>11</v>
      </c>
      <c r="B32" s="22" t="s">
        <v>427</v>
      </c>
      <c r="C32" s="22" t="s">
        <v>428</v>
      </c>
      <c r="D32" s="22" t="s">
        <v>429</v>
      </c>
      <c r="E32" s="26">
        <v>115.308141</v>
      </c>
      <c r="F32" s="25">
        <f t="shared" si="3"/>
        <v>3.459341</v>
      </c>
      <c r="G32" s="26">
        <v>0</v>
      </c>
      <c r="H32" s="26" t="s">
        <v>16</v>
      </c>
      <c r="I32" s="22">
        <v>3.459341</v>
      </c>
      <c r="J32" s="22" t="s">
        <v>89</v>
      </c>
      <c r="K32" s="26">
        <v>0</v>
      </c>
      <c r="L32" s="26" t="s">
        <v>16</v>
      </c>
      <c r="M32" s="22"/>
    </row>
    <row r="33" s="23" customFormat="1" ht="40" customHeight="1" spans="1:13">
      <c r="A33" s="26">
        <v>12</v>
      </c>
      <c r="B33" s="26" t="s">
        <v>430</v>
      </c>
      <c r="C33" s="26" t="s">
        <v>431</v>
      </c>
      <c r="D33" s="26" t="s">
        <v>432</v>
      </c>
      <c r="E33" s="26">
        <v>39.182234</v>
      </c>
      <c r="F33" s="25">
        <f t="shared" si="3"/>
        <v>1.175534</v>
      </c>
      <c r="G33" s="26">
        <v>0</v>
      </c>
      <c r="H33" s="26" t="s">
        <v>16</v>
      </c>
      <c r="I33" s="22">
        <v>1.175534</v>
      </c>
      <c r="J33" s="22" t="s">
        <v>89</v>
      </c>
      <c r="K33" s="26">
        <v>0</v>
      </c>
      <c r="L33" s="26" t="s">
        <v>16</v>
      </c>
      <c r="M33" s="22"/>
    </row>
    <row r="34" s="23" customFormat="1" ht="35" customHeight="1" spans="1:13">
      <c r="A34" s="26">
        <v>13</v>
      </c>
      <c r="B34" s="26" t="s">
        <v>430</v>
      </c>
      <c r="C34" s="26" t="s">
        <v>433</v>
      </c>
      <c r="D34" s="26" t="s">
        <v>434</v>
      </c>
      <c r="E34" s="26">
        <v>42.110181</v>
      </c>
      <c r="F34" s="25">
        <f t="shared" si="3"/>
        <v>1.263381</v>
      </c>
      <c r="G34" s="26">
        <v>0</v>
      </c>
      <c r="H34" s="26" t="s">
        <v>16</v>
      </c>
      <c r="I34" s="22">
        <v>1.263381</v>
      </c>
      <c r="J34" s="22" t="s">
        <v>89</v>
      </c>
      <c r="K34" s="26">
        <v>0</v>
      </c>
      <c r="L34" s="26" t="s">
        <v>16</v>
      </c>
      <c r="M34" s="22"/>
    </row>
    <row r="35" s="23" customFormat="1" ht="42" customHeight="1" spans="1:13">
      <c r="A35" s="26">
        <v>14</v>
      </c>
      <c r="B35" s="26" t="s">
        <v>430</v>
      </c>
      <c r="C35" s="26" t="s">
        <v>435</v>
      </c>
      <c r="D35" s="22" t="s">
        <v>436</v>
      </c>
      <c r="E35" s="26">
        <v>31.039</v>
      </c>
      <c r="F35" s="25">
        <f t="shared" si="3"/>
        <v>0.9312</v>
      </c>
      <c r="G35" s="26">
        <v>0</v>
      </c>
      <c r="H35" s="26" t="s">
        <v>16</v>
      </c>
      <c r="I35" s="22">
        <v>0.9312</v>
      </c>
      <c r="J35" s="22" t="s">
        <v>89</v>
      </c>
      <c r="K35" s="26">
        <v>0</v>
      </c>
      <c r="L35" s="26" t="s">
        <v>16</v>
      </c>
      <c r="M35" s="22"/>
    </row>
    <row r="36" s="23" customFormat="1" ht="57" customHeight="1" spans="1:13">
      <c r="A36" s="26">
        <v>15</v>
      </c>
      <c r="B36" s="120" t="s">
        <v>437</v>
      </c>
      <c r="C36" s="22" t="s">
        <v>438</v>
      </c>
      <c r="D36" s="22" t="s">
        <v>439</v>
      </c>
      <c r="E36" s="26">
        <v>551.810446</v>
      </c>
      <c r="F36" s="25">
        <f t="shared" si="3"/>
        <v>135.5668</v>
      </c>
      <c r="G36" s="26">
        <v>0</v>
      </c>
      <c r="H36" s="26" t="s">
        <v>16</v>
      </c>
      <c r="I36" s="114">
        <v>135.5668</v>
      </c>
      <c r="J36" s="22" t="s">
        <v>89</v>
      </c>
      <c r="K36" s="26">
        <v>0</v>
      </c>
      <c r="L36" s="26" t="s">
        <v>16</v>
      </c>
      <c r="M36" s="22"/>
    </row>
    <row r="37" s="23" customFormat="1" ht="41" customHeight="1" spans="1:13">
      <c r="A37" s="26">
        <v>16</v>
      </c>
      <c r="B37" s="22" t="s">
        <v>410</v>
      </c>
      <c r="C37" s="22" t="s">
        <v>440</v>
      </c>
      <c r="D37" s="22" t="s">
        <v>439</v>
      </c>
      <c r="E37" s="26">
        <v>132.254753</v>
      </c>
      <c r="F37" s="25">
        <f t="shared" si="3"/>
        <v>20.21278</v>
      </c>
      <c r="G37" s="26">
        <v>0</v>
      </c>
      <c r="H37" s="26" t="s">
        <v>16</v>
      </c>
      <c r="I37" s="114">
        <v>20.21278</v>
      </c>
      <c r="J37" s="22" t="s">
        <v>89</v>
      </c>
      <c r="K37" s="26">
        <v>0</v>
      </c>
      <c r="L37" s="26" t="s">
        <v>16</v>
      </c>
      <c r="M37" s="22"/>
    </row>
    <row r="38" s="23" customFormat="1" ht="41" customHeight="1" spans="1:13">
      <c r="A38" s="26">
        <v>17</v>
      </c>
      <c r="B38" s="22" t="s">
        <v>441</v>
      </c>
      <c r="C38" s="22" t="s">
        <v>442</v>
      </c>
      <c r="D38" s="22" t="s">
        <v>443</v>
      </c>
      <c r="E38" s="26">
        <v>14.6435</v>
      </c>
      <c r="F38" s="25">
        <f t="shared" si="3"/>
        <v>1.153074</v>
      </c>
      <c r="G38" s="26">
        <v>0</v>
      </c>
      <c r="H38" s="26" t="s">
        <v>16</v>
      </c>
      <c r="I38" s="114">
        <v>1.153074</v>
      </c>
      <c r="J38" s="22" t="s">
        <v>89</v>
      </c>
      <c r="K38" s="26">
        <v>0</v>
      </c>
      <c r="L38" s="26" t="s">
        <v>16</v>
      </c>
      <c r="M38" s="22"/>
    </row>
    <row r="39" s="23" customFormat="1" ht="44" customHeight="1" spans="1:13">
      <c r="A39" s="33" t="s">
        <v>54</v>
      </c>
      <c r="B39" s="34"/>
      <c r="C39" s="35"/>
      <c r="D39" s="20" t="s">
        <v>80</v>
      </c>
      <c r="E39" s="20">
        <f>E40</f>
        <v>70.733238</v>
      </c>
      <c r="F39" s="20">
        <f t="shared" si="3"/>
        <v>70.733238</v>
      </c>
      <c r="G39" s="42">
        <f>G40</f>
        <v>0</v>
      </c>
      <c r="H39" s="42"/>
      <c r="I39" s="42">
        <f>I40</f>
        <v>0</v>
      </c>
      <c r="J39" s="42"/>
      <c r="K39" s="42">
        <f>K40</f>
        <v>70.733238</v>
      </c>
      <c r="L39" s="22"/>
      <c r="M39" s="22"/>
    </row>
    <row r="40" s="4" customFormat="1" ht="60" customHeight="1" spans="1:13">
      <c r="A40" s="121">
        <v>1</v>
      </c>
      <c r="B40" s="122" t="s">
        <v>380</v>
      </c>
      <c r="C40" s="122" t="s">
        <v>54</v>
      </c>
      <c r="D40" s="121" t="s">
        <v>16</v>
      </c>
      <c r="E40" s="121">
        <v>70.733238</v>
      </c>
      <c r="F40" s="26">
        <f t="shared" si="3"/>
        <v>70.733238</v>
      </c>
      <c r="G40" s="26">
        <v>0</v>
      </c>
      <c r="H40" s="26" t="s">
        <v>16</v>
      </c>
      <c r="I40" s="26">
        <v>0</v>
      </c>
      <c r="J40" s="26" t="s">
        <v>16</v>
      </c>
      <c r="K40" s="26">
        <f>60+9.813128+0.92011</f>
        <v>70.733238</v>
      </c>
      <c r="L40" s="24" t="s">
        <v>444</v>
      </c>
      <c r="M40" s="26"/>
    </row>
    <row r="41" s="23" customFormat="1" ht="12"/>
    <row r="42" s="23" customFormat="1" ht="12"/>
    <row r="43" s="23" customFormat="1" ht="12"/>
  </sheetData>
  <autoFilter ref="A1:E40">
    <extLst/>
  </autoFilter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21:C21"/>
    <mergeCell ref="A39:C39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354166666666667"/>
  <pageSetup paperSize="9" scale="60" fitToHeight="0" orientation="portrait" horizontalDpi="600"/>
  <headerFooter/>
  <rowBreaks count="2" manualBreakCount="2">
    <brk id="40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zoomScale="70" zoomScaleNormal="70" workbookViewId="0">
      <pane ySplit="6" topLeftCell="A7" activePane="bottomLeft" state="frozen"/>
      <selection/>
      <selection pane="bottomLeft" activeCell="F7" sqref="F7"/>
    </sheetView>
  </sheetViews>
  <sheetFormatPr defaultColWidth="9" defaultRowHeight="30" customHeight="1"/>
  <cols>
    <col min="1" max="1" width="3.39814814814815" style="1" customWidth="1"/>
    <col min="2" max="2" width="21.25" style="1" customWidth="1"/>
    <col min="3" max="3" width="28.6203703703704" style="1" customWidth="1"/>
    <col min="4" max="4" width="29.3796296296296" style="1" customWidth="1"/>
    <col min="5" max="5" width="13.1203703703704" style="1" customWidth="1"/>
    <col min="6" max="6" width="13.1111111111111" style="1"/>
    <col min="7" max="7" width="10.712962962963" style="1" customWidth="1"/>
    <col min="8" max="8" width="14.212962962963" style="1" customWidth="1"/>
    <col min="9" max="9" width="13.4907407407407" style="1" customWidth="1"/>
    <col min="10" max="10" width="14.5277777777778" style="1" customWidth="1"/>
    <col min="11" max="12" width="10.712962962963" style="1" customWidth="1"/>
    <col min="13" max="13" width="6.87037037037037" style="1" customWidth="1"/>
    <col min="14" max="16" width="9" style="1"/>
    <col min="17" max="17" width="13.3333333333333" style="1" customWidth="1"/>
    <col min="18" max="18" width="9.44444444444444" style="1"/>
    <col min="19" max="19" width="11.7777777777778" style="1"/>
    <col min="20" max="32" width="9" style="1"/>
    <col min="33" max="16384" width="41.962962962963" style="1"/>
  </cols>
  <sheetData>
    <row r="1" s="1" customFormat="1" customHeight="1" spans="1:6">
      <c r="A1" s="9" t="s">
        <v>445</v>
      </c>
      <c r="B1" s="9"/>
      <c r="C1" s="9"/>
      <c r="F1" s="10"/>
    </row>
    <row r="2" s="104" customFormat="1" ht="41" customHeight="1" spans="1:13">
      <c r="A2" s="11" t="s">
        <v>446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ht="26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3" customFormat="1" ht="36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105" customFormat="1" ht="32" customHeight="1" spans="1:13">
      <c r="A6" s="106">
        <f>A13+A16+A22+A30+A32</f>
        <v>21</v>
      </c>
      <c r="B6" s="106" t="s">
        <v>15</v>
      </c>
      <c r="C6" s="106"/>
      <c r="D6" s="106"/>
      <c r="E6" s="106">
        <f>E7+E14+E17+E23+E31</f>
        <v>2414.857694</v>
      </c>
      <c r="F6" s="42">
        <f>G6+I6+K6</f>
        <v>1966.946228</v>
      </c>
      <c r="G6" s="42">
        <f>G7+G14+G17+G23+G31</f>
        <v>951.352488</v>
      </c>
      <c r="H6" s="42"/>
      <c r="I6" s="42">
        <f>I7+I14+I17+I23+I31</f>
        <v>937.079888</v>
      </c>
      <c r="J6" s="42"/>
      <c r="K6" s="42">
        <f>K7+K14+K17+K23+K31</f>
        <v>78.513852</v>
      </c>
      <c r="L6" s="42"/>
      <c r="M6" s="42"/>
    </row>
    <row r="7" s="7" customFormat="1" customHeight="1" spans="1:13">
      <c r="A7" s="33" t="s">
        <v>82</v>
      </c>
      <c r="B7" s="34"/>
      <c r="C7" s="35"/>
      <c r="D7" s="20" t="s">
        <v>80</v>
      </c>
      <c r="E7" s="20">
        <f>SUM(E8:E13)</f>
        <v>738.36</v>
      </c>
      <c r="F7" s="42">
        <f>G7+I7+K7</f>
        <v>738.36</v>
      </c>
      <c r="G7" s="20">
        <f>G8+G9+G10+G11+G12+G13</f>
        <v>685.78</v>
      </c>
      <c r="H7" s="20"/>
      <c r="I7" s="20">
        <f>I8+I9+I10+I11+I12+I13</f>
        <v>30</v>
      </c>
      <c r="J7" s="20"/>
      <c r="K7" s="20">
        <f>K8+K9+K10+K11+K12+K13</f>
        <v>22.58</v>
      </c>
      <c r="L7" s="20"/>
      <c r="M7" s="20"/>
    </row>
    <row r="8" s="7" customFormat="1" ht="92" customHeight="1" spans="1:13">
      <c r="A8" s="92">
        <v>1</v>
      </c>
      <c r="B8" s="30" t="s">
        <v>447</v>
      </c>
      <c r="C8" s="30" t="s">
        <v>448</v>
      </c>
      <c r="D8" s="30" t="s">
        <v>449</v>
      </c>
      <c r="E8" s="21">
        <v>92</v>
      </c>
      <c r="F8" s="26">
        <f>G8+I8+K8</f>
        <v>92</v>
      </c>
      <c r="G8" s="21">
        <v>92</v>
      </c>
      <c r="H8" s="22" t="s">
        <v>63</v>
      </c>
      <c r="I8" s="21">
        <v>0</v>
      </c>
      <c r="J8" s="21" t="s">
        <v>16</v>
      </c>
      <c r="K8" s="21">
        <v>0</v>
      </c>
      <c r="L8" s="21" t="s">
        <v>16</v>
      </c>
      <c r="M8" s="110"/>
    </row>
    <row r="9" s="7" customFormat="1" ht="96" customHeight="1" spans="1:13">
      <c r="A9" s="92">
        <v>2</v>
      </c>
      <c r="B9" s="107" t="s">
        <v>450</v>
      </c>
      <c r="C9" s="22" t="s">
        <v>451</v>
      </c>
      <c r="D9" s="22" t="s">
        <v>452</v>
      </c>
      <c r="E9" s="24">
        <v>600</v>
      </c>
      <c r="F9" s="26">
        <f>G9+I9+K9</f>
        <v>600</v>
      </c>
      <c r="G9" s="21">
        <v>570</v>
      </c>
      <c r="H9" s="22" t="s">
        <v>453</v>
      </c>
      <c r="I9" s="21">
        <v>30</v>
      </c>
      <c r="J9" s="22" t="s">
        <v>454</v>
      </c>
      <c r="K9" s="21">
        <v>0</v>
      </c>
      <c r="L9" s="21" t="s">
        <v>16</v>
      </c>
      <c r="M9" s="110"/>
    </row>
    <row r="10" s="4" customFormat="1" ht="33" customHeight="1" spans="1:13">
      <c r="A10" s="92">
        <v>3</v>
      </c>
      <c r="B10" s="38" t="s">
        <v>455</v>
      </c>
      <c r="C10" s="22" t="s">
        <v>456</v>
      </c>
      <c r="D10" s="26" t="s">
        <v>229</v>
      </c>
      <c r="E10" s="21">
        <f>F10</f>
        <v>14.81</v>
      </c>
      <c r="F10" s="22">
        <f t="shared" ref="F10:F23" si="0">G10+I10+K10</f>
        <v>14.81</v>
      </c>
      <c r="G10" s="10">
        <v>14.81</v>
      </c>
      <c r="H10" s="22" t="s">
        <v>63</v>
      </c>
      <c r="I10" s="21">
        <v>0</v>
      </c>
      <c r="J10" s="26" t="s">
        <v>16</v>
      </c>
      <c r="K10" s="21">
        <v>0</v>
      </c>
      <c r="L10" s="26" t="s">
        <v>16</v>
      </c>
      <c r="M10" s="22"/>
    </row>
    <row r="11" s="4" customFormat="1" ht="36" customHeight="1" spans="1:13">
      <c r="A11" s="92">
        <v>4</v>
      </c>
      <c r="B11" s="38" t="s">
        <v>455</v>
      </c>
      <c r="C11" s="108" t="s">
        <v>457</v>
      </c>
      <c r="D11" s="26" t="s">
        <v>229</v>
      </c>
      <c r="E11" s="21">
        <f>F11</f>
        <v>10</v>
      </c>
      <c r="F11" s="22">
        <f t="shared" si="0"/>
        <v>10</v>
      </c>
      <c r="G11" s="38">
        <v>4.2</v>
      </c>
      <c r="H11" s="22" t="s">
        <v>63</v>
      </c>
      <c r="I11" s="21">
        <v>0</v>
      </c>
      <c r="J11" s="26" t="s">
        <v>16</v>
      </c>
      <c r="K11" s="21">
        <f>10-4.2</f>
        <v>5.8</v>
      </c>
      <c r="L11" s="26" t="s">
        <v>159</v>
      </c>
      <c r="M11" s="22"/>
    </row>
    <row r="12" s="4" customFormat="1" ht="36" customHeight="1" spans="1:13">
      <c r="A12" s="92">
        <v>5</v>
      </c>
      <c r="B12" s="38" t="s">
        <v>455</v>
      </c>
      <c r="C12" s="108" t="s">
        <v>458</v>
      </c>
      <c r="D12" s="26" t="s">
        <v>229</v>
      </c>
      <c r="E12" s="21">
        <f>F12</f>
        <v>11.55</v>
      </c>
      <c r="F12" s="22">
        <f t="shared" si="0"/>
        <v>11.55</v>
      </c>
      <c r="G12" s="38">
        <v>4.77</v>
      </c>
      <c r="H12" s="22" t="s">
        <v>63</v>
      </c>
      <c r="I12" s="21">
        <v>0</v>
      </c>
      <c r="J12" s="26" t="s">
        <v>16</v>
      </c>
      <c r="K12" s="21">
        <f>11.55-4.77</f>
        <v>6.78</v>
      </c>
      <c r="L12" s="26" t="s">
        <v>159</v>
      </c>
      <c r="M12" s="22"/>
    </row>
    <row r="13" s="4" customFormat="1" ht="36" customHeight="1" spans="1:13">
      <c r="A13" s="92">
        <v>6</v>
      </c>
      <c r="B13" s="38" t="s">
        <v>455</v>
      </c>
      <c r="C13" s="108" t="s">
        <v>459</v>
      </c>
      <c r="D13" s="26" t="s">
        <v>229</v>
      </c>
      <c r="E13" s="21">
        <f>F13</f>
        <v>10</v>
      </c>
      <c r="F13" s="22">
        <f t="shared" si="0"/>
        <v>10</v>
      </c>
      <c r="G13" s="38"/>
      <c r="H13" s="22"/>
      <c r="I13" s="21">
        <v>0</v>
      </c>
      <c r="J13" s="26" t="s">
        <v>16</v>
      </c>
      <c r="K13" s="21">
        <v>10</v>
      </c>
      <c r="L13" s="26" t="s">
        <v>159</v>
      </c>
      <c r="M13" s="22"/>
    </row>
    <row r="14" s="4" customFormat="1" customHeight="1" spans="1:13">
      <c r="A14" s="20" t="s">
        <v>98</v>
      </c>
      <c r="B14" s="20"/>
      <c r="C14" s="20"/>
      <c r="D14" s="20" t="s">
        <v>80</v>
      </c>
      <c r="E14" s="42">
        <f>E15+E16</f>
        <v>61.72894</v>
      </c>
      <c r="F14" s="42">
        <f t="shared" si="0"/>
        <v>61.72894</v>
      </c>
      <c r="G14" s="20">
        <f>G15+G16</f>
        <v>61.72894</v>
      </c>
      <c r="H14" s="20"/>
      <c r="I14" s="20">
        <f>I15+I16</f>
        <v>0</v>
      </c>
      <c r="J14" s="20"/>
      <c r="K14" s="20">
        <f>K15+K16</f>
        <v>0</v>
      </c>
      <c r="L14" s="26"/>
      <c r="M14" s="26"/>
    </row>
    <row r="15" s="4" customFormat="1" customHeight="1" spans="1:13">
      <c r="A15" s="22">
        <v>1</v>
      </c>
      <c r="B15" s="22" t="s">
        <v>455</v>
      </c>
      <c r="C15" s="26" t="s">
        <v>100</v>
      </c>
      <c r="D15" s="22" t="s">
        <v>101</v>
      </c>
      <c r="E15" s="26">
        <f>G15</f>
        <v>18.82894</v>
      </c>
      <c r="F15" s="22">
        <f t="shared" si="0"/>
        <v>18.82894</v>
      </c>
      <c r="G15" s="93">
        <v>18.82894</v>
      </c>
      <c r="H15" s="22" t="s">
        <v>63</v>
      </c>
      <c r="I15" s="21">
        <v>0</v>
      </c>
      <c r="J15" s="26" t="s">
        <v>16</v>
      </c>
      <c r="K15" s="21">
        <v>0</v>
      </c>
      <c r="L15" s="26" t="s">
        <v>16</v>
      </c>
      <c r="M15" s="26"/>
    </row>
    <row r="16" s="4" customFormat="1" customHeight="1" spans="1:13">
      <c r="A16" s="22">
        <v>2</v>
      </c>
      <c r="B16" s="22" t="s">
        <v>455</v>
      </c>
      <c r="C16" s="26" t="s">
        <v>102</v>
      </c>
      <c r="D16" s="26" t="s">
        <v>103</v>
      </c>
      <c r="E16" s="26">
        <v>42.9</v>
      </c>
      <c r="F16" s="22">
        <f t="shared" si="0"/>
        <v>42.9</v>
      </c>
      <c r="G16" s="93">
        <v>42.9</v>
      </c>
      <c r="H16" s="22" t="s">
        <v>63</v>
      </c>
      <c r="I16" s="21">
        <v>0</v>
      </c>
      <c r="J16" s="26" t="s">
        <v>16</v>
      </c>
      <c r="K16" s="21">
        <v>0</v>
      </c>
      <c r="L16" s="26" t="s">
        <v>16</v>
      </c>
      <c r="M16" s="26"/>
    </row>
    <row r="17" s="7" customFormat="1" ht="42" customHeight="1" spans="1:13">
      <c r="A17" s="20" t="s">
        <v>105</v>
      </c>
      <c r="B17" s="20"/>
      <c r="C17" s="20"/>
      <c r="D17" s="20" t="s">
        <v>80</v>
      </c>
      <c r="E17" s="19">
        <f>SUM(E18:E22)</f>
        <v>1130.2308</v>
      </c>
      <c r="F17" s="42">
        <f t="shared" si="0"/>
        <v>1037.49</v>
      </c>
      <c r="G17" s="20">
        <f>SUM(G18:G22)</f>
        <v>203.843548</v>
      </c>
      <c r="H17" s="20"/>
      <c r="I17" s="20">
        <f>SUM(I18:I22)</f>
        <v>821.9265</v>
      </c>
      <c r="J17" s="20"/>
      <c r="K17" s="20">
        <f>SUM(K18:K22)</f>
        <v>11.719952</v>
      </c>
      <c r="L17" s="20"/>
      <c r="M17" s="20"/>
    </row>
    <row r="18" s="23" customFormat="1" ht="50" customHeight="1" spans="1:17">
      <c r="A18" s="22">
        <v>1</v>
      </c>
      <c r="B18" s="26" t="s">
        <v>460</v>
      </c>
      <c r="C18" s="26" t="s">
        <v>461</v>
      </c>
      <c r="D18" s="26" t="s">
        <v>462</v>
      </c>
      <c r="E18" s="26">
        <v>183.15</v>
      </c>
      <c r="F18" s="22">
        <f t="shared" si="0"/>
        <v>146.52</v>
      </c>
      <c r="G18" s="21">
        <v>56.52</v>
      </c>
      <c r="H18" s="26" t="s">
        <v>37</v>
      </c>
      <c r="I18" s="111">
        <v>90</v>
      </c>
      <c r="J18" s="112" t="s">
        <v>89</v>
      </c>
      <c r="K18" s="21">
        <v>0</v>
      </c>
      <c r="L18" s="26" t="s">
        <v>16</v>
      </c>
      <c r="M18" s="22"/>
      <c r="Q18" s="4"/>
    </row>
    <row r="19" s="23" customFormat="1" ht="37" customHeight="1" spans="1:17">
      <c r="A19" s="22">
        <v>2</v>
      </c>
      <c r="B19" s="26" t="s">
        <v>463</v>
      </c>
      <c r="C19" s="26" t="s">
        <v>464</v>
      </c>
      <c r="D19" s="26" t="s">
        <v>465</v>
      </c>
      <c r="E19" s="26">
        <v>51.6163</v>
      </c>
      <c r="F19" s="22">
        <f t="shared" si="0"/>
        <v>49.55</v>
      </c>
      <c r="G19" s="21">
        <f>17.29304+8.70696-0.45</f>
        <v>25.55</v>
      </c>
      <c r="H19" s="26" t="s">
        <v>466</v>
      </c>
      <c r="I19" s="26">
        <v>24</v>
      </c>
      <c r="J19" s="22" t="s">
        <v>89</v>
      </c>
      <c r="K19" s="21">
        <v>0</v>
      </c>
      <c r="L19" s="26" t="s">
        <v>16</v>
      </c>
      <c r="M19" s="22"/>
      <c r="Q19" s="4"/>
    </row>
    <row r="20" s="23" customFormat="1" ht="37" customHeight="1" spans="1:17">
      <c r="A20" s="22">
        <v>3</v>
      </c>
      <c r="B20" s="26" t="s">
        <v>467</v>
      </c>
      <c r="C20" s="26" t="s">
        <v>468</v>
      </c>
      <c r="D20" s="26" t="s">
        <v>469</v>
      </c>
      <c r="E20" s="26">
        <v>325.0345</v>
      </c>
      <c r="F20" s="22">
        <f t="shared" si="0"/>
        <v>314.38</v>
      </c>
      <c r="G20" s="21">
        <f>72.4+44.6-0.62</f>
        <v>116.38</v>
      </c>
      <c r="H20" s="26" t="s">
        <v>470</v>
      </c>
      <c r="I20" s="26">
        <v>198</v>
      </c>
      <c r="J20" s="22" t="s">
        <v>89</v>
      </c>
      <c r="K20" s="21">
        <v>0</v>
      </c>
      <c r="L20" s="26" t="s">
        <v>16</v>
      </c>
      <c r="M20" s="22"/>
      <c r="Q20" s="4"/>
    </row>
    <row r="21" s="4" customFormat="1" ht="85" customHeight="1" spans="1:13">
      <c r="A21" s="22">
        <v>4</v>
      </c>
      <c r="B21" s="26" t="s">
        <v>455</v>
      </c>
      <c r="C21" s="26" t="s">
        <v>471</v>
      </c>
      <c r="D21" s="26" t="s">
        <v>472</v>
      </c>
      <c r="E21" s="26">
        <v>262.57</v>
      </c>
      <c r="F21" s="22">
        <f t="shared" si="0"/>
        <v>235.04</v>
      </c>
      <c r="G21" s="21">
        <v>5.393548</v>
      </c>
      <c r="H21" s="22" t="s">
        <v>63</v>
      </c>
      <c r="I21" s="26">
        <f>169+48+0.9265</f>
        <v>217.9265</v>
      </c>
      <c r="J21" s="26" t="s">
        <v>473</v>
      </c>
      <c r="K21" s="21">
        <v>11.719952</v>
      </c>
      <c r="L21" s="26" t="s">
        <v>159</v>
      </c>
      <c r="M21" s="26"/>
    </row>
    <row r="22" s="4" customFormat="1" ht="69" customHeight="1" spans="1:13">
      <c r="A22" s="22">
        <v>5</v>
      </c>
      <c r="B22" s="26" t="s">
        <v>455</v>
      </c>
      <c r="C22" s="26" t="s">
        <v>474</v>
      </c>
      <c r="D22" s="26" t="s">
        <v>475</v>
      </c>
      <c r="E22" s="26">
        <v>307.86</v>
      </c>
      <c r="F22" s="22">
        <f t="shared" si="0"/>
        <v>292</v>
      </c>
      <c r="G22" s="21">
        <v>0</v>
      </c>
      <c r="H22" s="26" t="s">
        <v>16</v>
      </c>
      <c r="I22" s="26">
        <v>292</v>
      </c>
      <c r="J22" s="26" t="s">
        <v>476</v>
      </c>
      <c r="K22" s="21">
        <v>0</v>
      </c>
      <c r="L22" s="26" t="s">
        <v>16</v>
      </c>
      <c r="M22" s="26"/>
    </row>
    <row r="23" s="105" customFormat="1" ht="36" customHeight="1" spans="1:13">
      <c r="A23" s="19" t="s">
        <v>124</v>
      </c>
      <c r="B23" s="19"/>
      <c r="C23" s="19"/>
      <c r="D23" s="19" t="s">
        <v>80</v>
      </c>
      <c r="E23" s="19">
        <f>SUM(E24:E30)</f>
        <v>440.324054</v>
      </c>
      <c r="F23" s="19">
        <f t="shared" si="0"/>
        <v>85.153388</v>
      </c>
      <c r="G23" s="19">
        <f t="shared" ref="F23:K23" si="1">SUM(G24:G30)</f>
        <v>0</v>
      </c>
      <c r="H23" s="19"/>
      <c r="I23" s="113">
        <f t="shared" si="1"/>
        <v>85.153388</v>
      </c>
      <c r="J23" s="19"/>
      <c r="K23" s="19">
        <f t="shared" si="1"/>
        <v>0</v>
      </c>
      <c r="L23" s="42"/>
      <c r="M23" s="42"/>
    </row>
    <row r="24" s="23" customFormat="1" ht="40" customHeight="1" spans="1:13">
      <c r="A24" s="25">
        <v>1</v>
      </c>
      <c r="B24" s="22" t="s">
        <v>477</v>
      </c>
      <c r="C24" s="22" t="s">
        <v>478</v>
      </c>
      <c r="D24" s="22" t="s">
        <v>479</v>
      </c>
      <c r="E24" s="28">
        <v>3.693487</v>
      </c>
      <c r="F24" s="25">
        <f t="shared" ref="F24:F32" si="2">G24+I24+K24</f>
        <v>1.184423</v>
      </c>
      <c r="G24" s="21">
        <v>0</v>
      </c>
      <c r="H24" s="26" t="s">
        <v>16</v>
      </c>
      <c r="I24" s="22">
        <v>1.184423</v>
      </c>
      <c r="J24" s="22" t="s">
        <v>89</v>
      </c>
      <c r="K24" s="21">
        <v>0</v>
      </c>
      <c r="L24" s="26" t="s">
        <v>16</v>
      </c>
      <c r="M24" s="22"/>
    </row>
    <row r="25" s="23" customFormat="1" ht="40" customHeight="1" spans="1:13">
      <c r="A25" s="25">
        <v>2</v>
      </c>
      <c r="B25" s="22" t="s">
        <v>477</v>
      </c>
      <c r="C25" s="22" t="s">
        <v>480</v>
      </c>
      <c r="D25" s="22" t="s">
        <v>481</v>
      </c>
      <c r="E25" s="22">
        <v>25.843584</v>
      </c>
      <c r="F25" s="25">
        <f t="shared" si="2"/>
        <v>0.509039</v>
      </c>
      <c r="G25" s="21">
        <v>0</v>
      </c>
      <c r="H25" s="26" t="s">
        <v>16</v>
      </c>
      <c r="I25" s="22">
        <v>0.509039</v>
      </c>
      <c r="J25" s="22" t="s">
        <v>89</v>
      </c>
      <c r="K25" s="21">
        <v>0</v>
      </c>
      <c r="L25" s="26" t="s">
        <v>16</v>
      </c>
      <c r="M25" s="22"/>
    </row>
    <row r="26" s="23" customFormat="1" ht="40" customHeight="1" spans="1:13">
      <c r="A26" s="25">
        <v>3</v>
      </c>
      <c r="B26" s="22" t="s">
        <v>477</v>
      </c>
      <c r="C26" s="22" t="s">
        <v>482</v>
      </c>
      <c r="D26" s="22" t="s">
        <v>483</v>
      </c>
      <c r="E26" s="22">
        <v>18.175842</v>
      </c>
      <c r="F26" s="25">
        <f t="shared" si="2"/>
        <v>6.952103</v>
      </c>
      <c r="G26" s="21">
        <v>0</v>
      </c>
      <c r="H26" s="26" t="s">
        <v>16</v>
      </c>
      <c r="I26" s="22">
        <v>6.952103</v>
      </c>
      <c r="J26" s="22" t="s">
        <v>89</v>
      </c>
      <c r="K26" s="21">
        <v>0</v>
      </c>
      <c r="L26" s="26" t="s">
        <v>16</v>
      </c>
      <c r="M26" s="22"/>
    </row>
    <row r="27" s="23" customFormat="1" ht="48" customHeight="1" spans="1:13">
      <c r="A27" s="25">
        <v>4</v>
      </c>
      <c r="B27" s="22" t="s">
        <v>463</v>
      </c>
      <c r="C27" s="22" t="s">
        <v>484</v>
      </c>
      <c r="D27" s="22" t="s">
        <v>485</v>
      </c>
      <c r="E27" s="22">
        <v>218.471546</v>
      </c>
      <c r="F27" s="25">
        <f t="shared" si="2"/>
        <v>44.584076</v>
      </c>
      <c r="G27" s="21">
        <v>0</v>
      </c>
      <c r="H27" s="26" t="s">
        <v>16</v>
      </c>
      <c r="I27" s="22">
        <v>44.584076</v>
      </c>
      <c r="J27" s="22" t="s">
        <v>89</v>
      </c>
      <c r="K27" s="21">
        <v>0</v>
      </c>
      <c r="L27" s="26" t="s">
        <v>16</v>
      </c>
      <c r="M27" s="22"/>
    </row>
    <row r="28" s="23" customFormat="1" ht="38" customHeight="1" spans="1:13">
      <c r="A28" s="25">
        <v>5</v>
      </c>
      <c r="B28" s="22" t="s">
        <v>486</v>
      </c>
      <c r="C28" s="22" t="s">
        <v>487</v>
      </c>
      <c r="D28" s="22" t="s">
        <v>488</v>
      </c>
      <c r="E28" s="28">
        <v>11.228519</v>
      </c>
      <c r="F28" s="25">
        <f t="shared" si="2"/>
        <v>0.258519</v>
      </c>
      <c r="G28" s="21">
        <v>0</v>
      </c>
      <c r="H28" s="26" t="s">
        <v>16</v>
      </c>
      <c r="I28" s="114">
        <v>0.258519</v>
      </c>
      <c r="J28" s="22" t="s">
        <v>89</v>
      </c>
      <c r="K28" s="21">
        <v>0</v>
      </c>
      <c r="L28" s="26" t="s">
        <v>16</v>
      </c>
      <c r="M28" s="22"/>
    </row>
    <row r="29" s="23" customFormat="1" ht="38" customHeight="1" spans="1:13">
      <c r="A29" s="25">
        <v>6</v>
      </c>
      <c r="B29" s="22" t="s">
        <v>460</v>
      </c>
      <c r="C29" s="22" t="s">
        <v>489</v>
      </c>
      <c r="D29" s="22" t="s">
        <v>490</v>
      </c>
      <c r="E29" s="28">
        <v>110.96929</v>
      </c>
      <c r="F29" s="25">
        <f t="shared" si="2"/>
        <v>23.460564</v>
      </c>
      <c r="G29" s="21">
        <v>0</v>
      </c>
      <c r="H29" s="26" t="s">
        <v>16</v>
      </c>
      <c r="I29" s="114">
        <v>23.460564</v>
      </c>
      <c r="J29" s="22" t="s">
        <v>89</v>
      </c>
      <c r="K29" s="21">
        <v>0</v>
      </c>
      <c r="L29" s="26" t="s">
        <v>16</v>
      </c>
      <c r="M29" s="22"/>
    </row>
    <row r="30" s="23" customFormat="1" ht="38" customHeight="1" spans="1:13">
      <c r="A30" s="25">
        <v>7</v>
      </c>
      <c r="B30" s="22" t="s">
        <v>460</v>
      </c>
      <c r="C30" s="22" t="s">
        <v>491</v>
      </c>
      <c r="D30" s="22" t="s">
        <v>492</v>
      </c>
      <c r="E30" s="28">
        <v>51.941786</v>
      </c>
      <c r="F30" s="25">
        <f t="shared" si="2"/>
        <v>8.204664</v>
      </c>
      <c r="G30" s="21">
        <v>0</v>
      </c>
      <c r="H30" s="26" t="s">
        <v>16</v>
      </c>
      <c r="I30" s="114">
        <v>8.204664</v>
      </c>
      <c r="J30" s="22" t="s">
        <v>89</v>
      </c>
      <c r="K30" s="21">
        <v>0</v>
      </c>
      <c r="L30" s="26" t="s">
        <v>16</v>
      </c>
      <c r="M30" s="22"/>
    </row>
    <row r="31" s="7" customFormat="1" customHeight="1" spans="1:13">
      <c r="A31" s="20" t="s">
        <v>54</v>
      </c>
      <c r="B31" s="20"/>
      <c r="C31" s="20"/>
      <c r="D31" s="20" t="s">
        <v>80</v>
      </c>
      <c r="E31" s="20">
        <f>E32</f>
        <v>44.2139</v>
      </c>
      <c r="F31" s="42">
        <f t="shared" si="2"/>
        <v>44.2139</v>
      </c>
      <c r="G31" s="20">
        <f>G32</f>
        <v>0</v>
      </c>
      <c r="H31" s="20"/>
      <c r="I31" s="20">
        <f>I32</f>
        <v>0</v>
      </c>
      <c r="J31" s="20"/>
      <c r="K31" s="20">
        <f>K32</f>
        <v>44.2139</v>
      </c>
      <c r="L31" s="20"/>
      <c r="M31" s="20"/>
    </row>
    <row r="32" s="4" customFormat="1" ht="42" customHeight="1" spans="1:13">
      <c r="A32" s="26">
        <v>1</v>
      </c>
      <c r="B32" s="28" t="s">
        <v>455</v>
      </c>
      <c r="C32" s="28" t="s">
        <v>54</v>
      </c>
      <c r="D32" s="26" t="s">
        <v>16</v>
      </c>
      <c r="E32" s="109">
        <v>44.2139</v>
      </c>
      <c r="F32" s="22">
        <f t="shared" si="2"/>
        <v>44.2139</v>
      </c>
      <c r="G32" s="21">
        <v>0</v>
      </c>
      <c r="H32" s="26" t="s">
        <v>16</v>
      </c>
      <c r="I32" s="21">
        <v>0</v>
      </c>
      <c r="J32" s="26" t="s">
        <v>16</v>
      </c>
      <c r="K32" s="115">
        <v>44.2139</v>
      </c>
      <c r="L32" s="24" t="s">
        <v>113</v>
      </c>
      <c r="M32" s="26"/>
    </row>
  </sheetData>
  <mergeCells count="16">
    <mergeCell ref="A1:C1"/>
    <mergeCell ref="A2:M2"/>
    <mergeCell ref="A3:M3"/>
    <mergeCell ref="F4:L4"/>
    <mergeCell ref="B6:C6"/>
    <mergeCell ref="A7:C7"/>
    <mergeCell ref="A14:C14"/>
    <mergeCell ref="A17:C17"/>
    <mergeCell ref="A23:C23"/>
    <mergeCell ref="A31:C31"/>
    <mergeCell ref="A4:A5"/>
    <mergeCell ref="B4:B5"/>
    <mergeCell ref="C4:C5"/>
    <mergeCell ref="D4:D5"/>
    <mergeCell ref="E4:E5"/>
    <mergeCell ref="M4:M5"/>
  </mergeCells>
  <pageMargins left="0.393055555555556" right="0.196527777777778" top="0.550694444444444" bottom="0.432638888888889" header="0.472222222222222" footer="0.5"/>
  <pageSetup paperSize="9" scale="51" orientation="portrait" horizontalDpi="600"/>
  <headerFooter/>
  <ignoredErrors>
    <ignoredError sqref="F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view="pageBreakPreview" zoomScale="80" zoomScaleNormal="70" workbookViewId="0">
      <pane ySplit="6" topLeftCell="A34" activePane="bottomLeft" state="frozen"/>
      <selection/>
      <selection pane="bottomLeft" activeCell="E42" sqref="E42"/>
    </sheetView>
  </sheetViews>
  <sheetFormatPr defaultColWidth="9" defaultRowHeight="15.6"/>
  <cols>
    <col min="1" max="1" width="4.37962962962963" style="8" customWidth="1"/>
    <col min="2" max="2" width="17.6574074074074" style="8" customWidth="1"/>
    <col min="3" max="3" width="30.8518518518519" style="8" customWidth="1"/>
    <col min="4" max="4" width="34.8981481481481" style="8" customWidth="1"/>
    <col min="5" max="5" width="12.1851851851852" style="8" customWidth="1"/>
    <col min="6" max="6" width="15.6666666666667" style="8"/>
    <col min="7" max="7" width="12.5462962962963" style="8" customWidth="1"/>
    <col min="8" max="8" width="13.8981481481481" style="8" customWidth="1"/>
    <col min="9" max="9" width="13.5185185185185" style="8" customWidth="1"/>
    <col min="10" max="10" width="12.6481481481481" style="8" customWidth="1"/>
    <col min="11" max="11" width="13.3333333333333" style="8" customWidth="1"/>
    <col min="12" max="12" width="10" style="8" customWidth="1"/>
    <col min="13" max="13" width="14.2222222222222" style="8" customWidth="1"/>
    <col min="14" max="14" width="12.8888888888889" style="8"/>
    <col min="15" max="15" width="9.66666666666667" style="8"/>
    <col min="16" max="16384" width="9" style="8"/>
  </cols>
  <sheetData>
    <row r="1" s="86" customFormat="1" ht="21" customHeight="1" spans="1:16384">
      <c r="A1" s="86" t="s">
        <v>493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87" customFormat="1" ht="33" customHeight="1" spans="1:13">
      <c r="A2" s="11" t="s">
        <v>494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</row>
    <row r="3" s="88" customFormat="1" ht="23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89" customFormat="1" ht="35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89" customFormat="1" ht="35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89" customFormat="1" ht="33" customHeight="1" spans="1:13">
      <c r="A6" s="15">
        <f>A8+A11+A14+A40+A42</f>
        <v>31</v>
      </c>
      <c r="B6" s="15" t="s">
        <v>282</v>
      </c>
      <c r="C6" s="15"/>
      <c r="D6" s="15"/>
      <c r="E6" s="15">
        <f>E7+E9+E12+E15+E41</f>
        <v>2930.285758</v>
      </c>
      <c r="F6" s="90">
        <f t="shared" ref="F6:F8" si="0">G6+I6+K6</f>
        <v>1834.501367</v>
      </c>
      <c r="G6" s="90">
        <f>G7+G9+G12+G15+G41</f>
        <v>862.913795</v>
      </c>
      <c r="H6" s="90"/>
      <c r="I6" s="90">
        <f>I7+I9+I12+I15+I41</f>
        <v>585.705838</v>
      </c>
      <c r="J6" s="90"/>
      <c r="K6" s="90">
        <f>K7+K9+K12+K15+K41</f>
        <v>385.881734</v>
      </c>
      <c r="L6" s="90"/>
      <c r="M6" s="90"/>
    </row>
    <row r="7" s="7" customFormat="1" ht="30" customHeight="1" spans="1:13">
      <c r="A7" s="33" t="s">
        <v>82</v>
      </c>
      <c r="B7" s="34"/>
      <c r="C7" s="35"/>
      <c r="D7" s="20" t="s">
        <v>80</v>
      </c>
      <c r="E7" s="20">
        <f>SUM(E8:E8)</f>
        <v>1000</v>
      </c>
      <c r="F7" s="42">
        <f t="shared" si="0"/>
        <v>1000</v>
      </c>
      <c r="G7" s="20">
        <f>G8</f>
        <v>720</v>
      </c>
      <c r="H7" s="20"/>
      <c r="I7" s="20">
        <f>I8</f>
        <v>250</v>
      </c>
      <c r="J7" s="20"/>
      <c r="K7" s="20">
        <f>K8</f>
        <v>30</v>
      </c>
      <c r="L7" s="20"/>
      <c r="M7" s="20"/>
    </row>
    <row r="8" s="4" customFormat="1" ht="91" customHeight="1" spans="1:13">
      <c r="A8" s="22">
        <v>1</v>
      </c>
      <c r="B8" s="91" t="s">
        <v>495</v>
      </c>
      <c r="C8" s="26" t="s">
        <v>146</v>
      </c>
      <c r="D8" s="92" t="s">
        <v>147</v>
      </c>
      <c r="E8" s="38">
        <v>1000</v>
      </c>
      <c r="F8" s="26">
        <v>1000</v>
      </c>
      <c r="G8" s="26">
        <f>720</f>
        <v>720</v>
      </c>
      <c r="H8" s="22" t="s">
        <v>63</v>
      </c>
      <c r="I8" s="26">
        <v>250</v>
      </c>
      <c r="J8" s="22" t="s">
        <v>89</v>
      </c>
      <c r="K8" s="26">
        <v>30</v>
      </c>
      <c r="L8" s="26" t="s">
        <v>113</v>
      </c>
      <c r="M8" s="26" t="s">
        <v>496</v>
      </c>
    </row>
    <row r="9" s="4" customFormat="1" ht="30" customHeight="1" spans="1:13">
      <c r="A9" s="20" t="s">
        <v>98</v>
      </c>
      <c r="B9" s="20"/>
      <c r="C9" s="20"/>
      <c r="D9" s="20" t="s">
        <v>80</v>
      </c>
      <c r="E9" s="29">
        <f>E10+E11</f>
        <v>78.20165</v>
      </c>
      <c r="F9" s="29">
        <f t="shared" ref="F9:F15" si="1">G9+I9+K9</f>
        <v>78.20165</v>
      </c>
      <c r="G9" s="20">
        <f>G10+G11</f>
        <v>76.043562</v>
      </c>
      <c r="H9" s="20"/>
      <c r="I9" s="20">
        <f>I10+I11</f>
        <v>2.158088</v>
      </c>
      <c r="J9" s="20"/>
      <c r="K9" s="20">
        <f>K10+K11</f>
        <v>0</v>
      </c>
      <c r="L9" s="26"/>
      <c r="M9" s="26"/>
    </row>
    <row r="10" s="4" customFormat="1" ht="61" customHeight="1" spans="1:13">
      <c r="A10" s="26">
        <v>1</v>
      </c>
      <c r="B10" s="21" t="s">
        <v>497</v>
      </c>
      <c r="C10" s="26" t="s">
        <v>100</v>
      </c>
      <c r="D10" s="22" t="s">
        <v>101</v>
      </c>
      <c r="E10" s="93">
        <v>11.20165</v>
      </c>
      <c r="F10" s="21">
        <f t="shared" si="1"/>
        <v>11.20165</v>
      </c>
      <c r="G10" s="93">
        <f>10.997562+0.046</f>
        <v>11.043562</v>
      </c>
      <c r="H10" s="22" t="s">
        <v>498</v>
      </c>
      <c r="I10" s="96">
        <v>0.158088</v>
      </c>
      <c r="J10" s="26" t="s">
        <v>152</v>
      </c>
      <c r="K10" s="26">
        <v>0</v>
      </c>
      <c r="L10" s="26" t="s">
        <v>16</v>
      </c>
      <c r="M10" s="26"/>
    </row>
    <row r="11" s="4" customFormat="1" ht="37" customHeight="1" spans="1:13">
      <c r="A11" s="26">
        <v>2</v>
      </c>
      <c r="B11" s="21" t="s">
        <v>497</v>
      </c>
      <c r="C11" s="26" t="s">
        <v>102</v>
      </c>
      <c r="D11" s="26" t="s">
        <v>103</v>
      </c>
      <c r="E11" s="26">
        <v>67</v>
      </c>
      <c r="F11" s="21">
        <f t="shared" si="1"/>
        <v>67</v>
      </c>
      <c r="G11" s="26">
        <v>65</v>
      </c>
      <c r="H11" s="22" t="s">
        <v>63</v>
      </c>
      <c r="I11" s="26">
        <v>2</v>
      </c>
      <c r="J11" s="26" t="s">
        <v>152</v>
      </c>
      <c r="K11" s="26">
        <v>0</v>
      </c>
      <c r="L11" s="26" t="s">
        <v>16</v>
      </c>
      <c r="M11" s="26"/>
    </row>
    <row r="12" s="7" customFormat="1" ht="30" customHeight="1" spans="1:13">
      <c r="A12" s="20" t="s">
        <v>105</v>
      </c>
      <c r="B12" s="20"/>
      <c r="C12" s="20"/>
      <c r="D12" s="20" t="s">
        <v>80</v>
      </c>
      <c r="E12" s="20">
        <f>SUM(E13:E14)</f>
        <v>605</v>
      </c>
      <c r="F12" s="29">
        <f t="shared" si="1"/>
        <v>477.6314</v>
      </c>
      <c r="G12" s="20">
        <f>G14+G13</f>
        <v>66.870233</v>
      </c>
      <c r="H12" s="20"/>
      <c r="I12" s="20">
        <f>I14+I13</f>
        <v>333.54775</v>
      </c>
      <c r="J12" s="20"/>
      <c r="K12" s="20">
        <f>K14+K13</f>
        <v>77.213417</v>
      </c>
      <c r="L12" s="20"/>
      <c r="M12" s="20"/>
    </row>
    <row r="13" s="4" customFormat="1" ht="78" customHeight="1" spans="1:13">
      <c r="A13" s="26">
        <v>1</v>
      </c>
      <c r="B13" s="22" t="s">
        <v>499</v>
      </c>
      <c r="C13" s="22" t="s">
        <v>500</v>
      </c>
      <c r="D13" s="22" t="s">
        <v>501</v>
      </c>
      <c r="E13" s="22">
        <v>330</v>
      </c>
      <c r="F13" s="21">
        <f t="shared" si="1"/>
        <v>259.4</v>
      </c>
      <c r="G13" s="26">
        <f>10.489595+56.377638</f>
        <v>66.867233</v>
      </c>
      <c r="H13" s="22" t="s">
        <v>502</v>
      </c>
      <c r="I13" s="26">
        <f>80.745692+93-0.95276+0.154818-4.4</f>
        <v>168.54775</v>
      </c>
      <c r="J13" s="22" t="s">
        <v>89</v>
      </c>
      <c r="K13" s="97">
        <v>23.985017</v>
      </c>
      <c r="L13" s="24" t="s">
        <v>113</v>
      </c>
      <c r="M13" s="26"/>
    </row>
    <row r="14" s="4" customFormat="1" ht="47" customHeight="1" spans="1:13">
      <c r="A14" s="26">
        <v>2</v>
      </c>
      <c r="B14" s="22" t="s">
        <v>503</v>
      </c>
      <c r="C14" s="22" t="s">
        <v>504</v>
      </c>
      <c r="D14" s="22" t="s">
        <v>505</v>
      </c>
      <c r="E14" s="22">
        <v>275</v>
      </c>
      <c r="F14" s="21">
        <f t="shared" si="1"/>
        <v>218.2314</v>
      </c>
      <c r="G14" s="26">
        <v>0.003</v>
      </c>
      <c r="H14" s="26" t="s">
        <v>63</v>
      </c>
      <c r="I14" s="26">
        <v>165</v>
      </c>
      <c r="J14" s="22" t="s">
        <v>89</v>
      </c>
      <c r="K14" s="98">
        <v>53.2284</v>
      </c>
      <c r="L14" s="99" t="s">
        <v>113</v>
      </c>
      <c r="M14" s="26"/>
    </row>
    <row r="15" s="5" customFormat="1" ht="36" customHeight="1" spans="1:13">
      <c r="A15" s="19" t="s">
        <v>124</v>
      </c>
      <c r="B15" s="19"/>
      <c r="C15" s="19"/>
      <c r="D15" s="19" t="s">
        <v>80</v>
      </c>
      <c r="E15" s="19">
        <f>SUM(E16:E40)</f>
        <v>1186.828188</v>
      </c>
      <c r="F15" s="19">
        <f t="shared" si="1"/>
        <v>218.412397</v>
      </c>
      <c r="G15" s="19">
        <f t="shared" ref="F15:K15" si="2">SUM(G16:G40)</f>
        <v>0</v>
      </c>
      <c r="H15" s="19"/>
      <c r="I15" s="19">
        <f t="shared" si="2"/>
        <v>0</v>
      </c>
      <c r="J15" s="19"/>
      <c r="K15" s="19">
        <f t="shared" si="2"/>
        <v>218.412397</v>
      </c>
      <c r="L15" s="29"/>
      <c r="M15" s="29"/>
    </row>
    <row r="16" s="4" customFormat="1" ht="38" customHeight="1" spans="1:13">
      <c r="A16" s="26">
        <v>1</v>
      </c>
      <c r="B16" s="22" t="s">
        <v>506</v>
      </c>
      <c r="C16" s="22" t="s">
        <v>507</v>
      </c>
      <c r="D16" s="22" t="s">
        <v>508</v>
      </c>
      <c r="E16" s="28">
        <v>72.170031</v>
      </c>
      <c r="F16" s="25">
        <f t="shared" ref="F16:F42" si="3">G16+I16+K16</f>
        <v>25.93</v>
      </c>
      <c r="G16" s="26">
        <v>0</v>
      </c>
      <c r="H16" s="26" t="s">
        <v>16</v>
      </c>
      <c r="I16" s="26">
        <v>0</v>
      </c>
      <c r="J16" s="26" t="s">
        <v>16</v>
      </c>
      <c r="K16" s="26">
        <v>25.93</v>
      </c>
      <c r="L16" s="24" t="s">
        <v>113</v>
      </c>
      <c r="M16" s="26"/>
    </row>
    <row r="17" s="4" customFormat="1" ht="38" customHeight="1" spans="1:13">
      <c r="A17" s="26">
        <v>2</v>
      </c>
      <c r="B17" s="22" t="s">
        <v>509</v>
      </c>
      <c r="C17" s="22" t="s">
        <v>510</v>
      </c>
      <c r="D17" s="22" t="s">
        <v>511</v>
      </c>
      <c r="E17" s="22">
        <v>84.180702</v>
      </c>
      <c r="F17" s="25">
        <f t="shared" si="3"/>
        <v>29.5</v>
      </c>
      <c r="G17" s="26">
        <v>0</v>
      </c>
      <c r="H17" s="26" t="s">
        <v>16</v>
      </c>
      <c r="I17" s="26">
        <v>0</v>
      </c>
      <c r="J17" s="26" t="s">
        <v>16</v>
      </c>
      <c r="K17" s="26">
        <v>29.5</v>
      </c>
      <c r="L17" s="24" t="s">
        <v>113</v>
      </c>
      <c r="M17" s="26"/>
    </row>
    <row r="18" s="4" customFormat="1" ht="38" customHeight="1" spans="1:13">
      <c r="A18" s="26">
        <v>3</v>
      </c>
      <c r="B18" s="22" t="s">
        <v>512</v>
      </c>
      <c r="C18" s="22" t="s">
        <v>513</v>
      </c>
      <c r="D18" s="22" t="s">
        <v>514</v>
      </c>
      <c r="E18" s="22">
        <v>49.689864</v>
      </c>
      <c r="F18" s="25">
        <f t="shared" si="3"/>
        <v>18.18</v>
      </c>
      <c r="G18" s="26">
        <v>0</v>
      </c>
      <c r="H18" s="26" t="s">
        <v>16</v>
      </c>
      <c r="I18" s="26">
        <v>0</v>
      </c>
      <c r="J18" s="26" t="s">
        <v>16</v>
      </c>
      <c r="K18" s="26">
        <v>18.18</v>
      </c>
      <c r="L18" s="24" t="s">
        <v>113</v>
      </c>
      <c r="M18" s="26"/>
    </row>
    <row r="19" s="4" customFormat="1" ht="38" customHeight="1" spans="1:13">
      <c r="A19" s="26">
        <v>4</v>
      </c>
      <c r="B19" s="22" t="s">
        <v>499</v>
      </c>
      <c r="C19" s="22" t="s">
        <v>515</v>
      </c>
      <c r="D19" s="22" t="s">
        <v>516</v>
      </c>
      <c r="E19" s="22">
        <v>52.354713</v>
      </c>
      <c r="F19" s="25">
        <f t="shared" si="3"/>
        <v>19.25</v>
      </c>
      <c r="G19" s="26">
        <v>0</v>
      </c>
      <c r="H19" s="26" t="s">
        <v>16</v>
      </c>
      <c r="I19" s="26">
        <v>0</v>
      </c>
      <c r="J19" s="26" t="s">
        <v>16</v>
      </c>
      <c r="K19" s="26">
        <v>19.25</v>
      </c>
      <c r="L19" s="24" t="s">
        <v>113</v>
      </c>
      <c r="M19" s="26"/>
    </row>
    <row r="20" s="4" customFormat="1" ht="38" customHeight="1" spans="1:13">
      <c r="A20" s="26">
        <v>5</v>
      </c>
      <c r="B20" s="22" t="s">
        <v>517</v>
      </c>
      <c r="C20" s="22" t="s">
        <v>518</v>
      </c>
      <c r="D20" s="22" t="s">
        <v>519</v>
      </c>
      <c r="E20" s="28">
        <v>103.403327</v>
      </c>
      <c r="F20" s="25">
        <f t="shared" si="3"/>
        <v>37.8089</v>
      </c>
      <c r="G20" s="26">
        <v>0</v>
      </c>
      <c r="H20" s="26" t="s">
        <v>16</v>
      </c>
      <c r="I20" s="26">
        <v>0</v>
      </c>
      <c r="J20" s="26" t="s">
        <v>16</v>
      </c>
      <c r="K20" s="26">
        <v>37.8089</v>
      </c>
      <c r="L20" s="24" t="s">
        <v>113</v>
      </c>
      <c r="M20" s="26"/>
    </row>
    <row r="21" s="4" customFormat="1" ht="38" customHeight="1" spans="1:13">
      <c r="A21" s="26">
        <v>6</v>
      </c>
      <c r="B21" s="22" t="s">
        <v>520</v>
      </c>
      <c r="C21" s="22" t="s">
        <v>521</v>
      </c>
      <c r="D21" s="22" t="s">
        <v>522</v>
      </c>
      <c r="E21" s="28">
        <v>101.446939</v>
      </c>
      <c r="F21" s="25">
        <f t="shared" si="3"/>
        <v>43.7646</v>
      </c>
      <c r="G21" s="26">
        <v>0</v>
      </c>
      <c r="H21" s="26" t="s">
        <v>16</v>
      </c>
      <c r="I21" s="26">
        <v>0</v>
      </c>
      <c r="J21" s="26" t="s">
        <v>16</v>
      </c>
      <c r="K21" s="26">
        <v>43.7646</v>
      </c>
      <c r="L21" s="24" t="s">
        <v>113</v>
      </c>
      <c r="M21" s="26"/>
    </row>
    <row r="22" s="4" customFormat="1" ht="38" customHeight="1" spans="1:13">
      <c r="A22" s="26">
        <v>7</v>
      </c>
      <c r="B22" s="22" t="s">
        <v>520</v>
      </c>
      <c r="C22" s="22" t="s">
        <v>523</v>
      </c>
      <c r="D22" s="22" t="s">
        <v>524</v>
      </c>
      <c r="E22" s="28">
        <v>91.550484</v>
      </c>
      <c r="F22" s="25">
        <f t="shared" si="3"/>
        <v>26.6095</v>
      </c>
      <c r="G22" s="26">
        <v>0</v>
      </c>
      <c r="H22" s="26" t="s">
        <v>16</v>
      </c>
      <c r="I22" s="26">
        <v>0</v>
      </c>
      <c r="J22" s="26" t="s">
        <v>16</v>
      </c>
      <c r="K22" s="26">
        <v>26.6095</v>
      </c>
      <c r="L22" s="24" t="s">
        <v>113</v>
      </c>
      <c r="M22" s="26"/>
    </row>
    <row r="23" s="4" customFormat="1" ht="38" customHeight="1" spans="1:13">
      <c r="A23" s="26">
        <v>8</v>
      </c>
      <c r="B23" s="28" t="s">
        <v>525</v>
      </c>
      <c r="C23" s="22" t="s">
        <v>526</v>
      </c>
      <c r="D23" s="22" t="s">
        <v>527</v>
      </c>
      <c r="E23" s="25">
        <v>23.599446</v>
      </c>
      <c r="F23" s="25">
        <f t="shared" si="3"/>
        <v>0.697076</v>
      </c>
      <c r="G23" s="26">
        <v>0</v>
      </c>
      <c r="H23" s="26" t="s">
        <v>16</v>
      </c>
      <c r="I23" s="26">
        <v>0</v>
      </c>
      <c r="J23" s="100" t="s">
        <v>16</v>
      </c>
      <c r="K23" s="101">
        <v>0.697076</v>
      </c>
      <c r="L23" s="102" t="s">
        <v>113</v>
      </c>
      <c r="M23" s="26"/>
    </row>
    <row r="24" s="4" customFormat="1" ht="32" customHeight="1" spans="1:13">
      <c r="A24" s="26">
        <v>9</v>
      </c>
      <c r="B24" s="26" t="s">
        <v>528</v>
      </c>
      <c r="C24" s="22" t="s">
        <v>529</v>
      </c>
      <c r="D24" s="22" t="s">
        <v>530</v>
      </c>
      <c r="E24" s="25">
        <v>22.559369</v>
      </c>
      <c r="F24" s="25">
        <f t="shared" si="3"/>
        <v>0.694743</v>
      </c>
      <c r="G24" s="26">
        <v>0</v>
      </c>
      <c r="H24" s="26" t="s">
        <v>16</v>
      </c>
      <c r="I24" s="26">
        <v>0</v>
      </c>
      <c r="J24" s="26" t="s">
        <v>16</v>
      </c>
      <c r="K24" s="93">
        <v>0.694743</v>
      </c>
      <c r="L24" s="24" t="s">
        <v>113</v>
      </c>
      <c r="M24" s="26"/>
    </row>
    <row r="25" s="4" customFormat="1" ht="32" customHeight="1" spans="1:13">
      <c r="A25" s="26">
        <v>10</v>
      </c>
      <c r="B25" s="26" t="s">
        <v>528</v>
      </c>
      <c r="C25" s="22" t="s">
        <v>531</v>
      </c>
      <c r="D25" s="22" t="s">
        <v>532</v>
      </c>
      <c r="E25" s="94">
        <v>65.582163</v>
      </c>
      <c r="F25" s="25">
        <f t="shared" si="3"/>
        <v>1.912851</v>
      </c>
      <c r="G25" s="26">
        <v>0</v>
      </c>
      <c r="H25" s="26" t="s">
        <v>16</v>
      </c>
      <c r="I25" s="26">
        <v>0</v>
      </c>
      <c r="J25" s="26" t="s">
        <v>16</v>
      </c>
      <c r="K25" s="97">
        <v>1.912851</v>
      </c>
      <c r="L25" s="103" t="s">
        <v>113</v>
      </c>
      <c r="M25" s="26"/>
    </row>
    <row r="26" s="4" customFormat="1" ht="32" customHeight="1" spans="1:13">
      <c r="A26" s="26">
        <v>11</v>
      </c>
      <c r="B26" s="26" t="s">
        <v>533</v>
      </c>
      <c r="C26" s="22" t="s">
        <v>534</v>
      </c>
      <c r="D26" s="22" t="s">
        <v>535</v>
      </c>
      <c r="E26" s="26">
        <v>47.202163</v>
      </c>
      <c r="F26" s="25">
        <f t="shared" si="3"/>
        <v>0</v>
      </c>
      <c r="G26" s="26">
        <v>0</v>
      </c>
      <c r="H26" s="26" t="s">
        <v>16</v>
      </c>
      <c r="I26" s="26">
        <v>0</v>
      </c>
      <c r="J26" s="26" t="s">
        <v>16</v>
      </c>
      <c r="K26" s="26">
        <v>0</v>
      </c>
      <c r="L26" s="24" t="s">
        <v>113</v>
      </c>
      <c r="M26" s="26"/>
    </row>
    <row r="27" s="4" customFormat="1" ht="32" customHeight="1" spans="1:13">
      <c r="A27" s="26">
        <v>12</v>
      </c>
      <c r="B27" s="26" t="s">
        <v>536</v>
      </c>
      <c r="C27" s="22" t="s">
        <v>537</v>
      </c>
      <c r="D27" s="22" t="s">
        <v>538</v>
      </c>
      <c r="E27" s="26">
        <v>31.457463</v>
      </c>
      <c r="F27" s="25">
        <f t="shared" si="3"/>
        <v>1.101301</v>
      </c>
      <c r="G27" s="26">
        <v>0</v>
      </c>
      <c r="H27" s="26" t="s">
        <v>16</v>
      </c>
      <c r="I27" s="26">
        <v>0</v>
      </c>
      <c r="J27" s="26" t="s">
        <v>16</v>
      </c>
      <c r="K27" s="93">
        <v>1.101301</v>
      </c>
      <c r="L27" s="24" t="s">
        <v>113</v>
      </c>
      <c r="M27" s="26"/>
    </row>
    <row r="28" s="4" customFormat="1" ht="32" customHeight="1" spans="1:13">
      <c r="A28" s="26">
        <v>13</v>
      </c>
      <c r="B28" s="26" t="s">
        <v>536</v>
      </c>
      <c r="C28" s="22" t="s">
        <v>539</v>
      </c>
      <c r="D28" s="22" t="s">
        <v>540</v>
      </c>
      <c r="E28" s="26">
        <v>26.467872</v>
      </c>
      <c r="F28" s="25">
        <f t="shared" si="3"/>
        <v>0.759847</v>
      </c>
      <c r="G28" s="26">
        <v>0</v>
      </c>
      <c r="H28" s="26" t="s">
        <v>16</v>
      </c>
      <c r="I28" s="26">
        <v>0</v>
      </c>
      <c r="J28" s="26" t="s">
        <v>16</v>
      </c>
      <c r="K28" s="97">
        <v>0.759847</v>
      </c>
      <c r="L28" s="24" t="s">
        <v>113</v>
      </c>
      <c r="M28" s="26"/>
    </row>
    <row r="29" s="4" customFormat="1" ht="32" customHeight="1" spans="1:13">
      <c r="A29" s="26">
        <v>14</v>
      </c>
      <c r="B29" s="26" t="s">
        <v>536</v>
      </c>
      <c r="C29" s="22" t="s">
        <v>541</v>
      </c>
      <c r="D29" s="22" t="s">
        <v>542</v>
      </c>
      <c r="E29" s="26">
        <v>37.369393</v>
      </c>
      <c r="F29" s="25">
        <f t="shared" si="3"/>
        <v>0.992677</v>
      </c>
      <c r="G29" s="26">
        <v>0</v>
      </c>
      <c r="H29" s="26" t="s">
        <v>16</v>
      </c>
      <c r="I29" s="26">
        <v>0</v>
      </c>
      <c r="J29" s="26" t="s">
        <v>16</v>
      </c>
      <c r="K29" s="97">
        <v>0.992677</v>
      </c>
      <c r="L29" s="103" t="s">
        <v>113</v>
      </c>
      <c r="M29" s="26"/>
    </row>
    <row r="30" s="4" customFormat="1" ht="32" customHeight="1" spans="1:13">
      <c r="A30" s="26">
        <v>15</v>
      </c>
      <c r="B30" s="26" t="s">
        <v>543</v>
      </c>
      <c r="C30" s="22" t="s">
        <v>544</v>
      </c>
      <c r="D30" s="22" t="s">
        <v>545</v>
      </c>
      <c r="E30" s="26">
        <v>29.759147</v>
      </c>
      <c r="F30" s="25">
        <f t="shared" si="3"/>
        <v>0.89</v>
      </c>
      <c r="G30" s="26">
        <v>0</v>
      </c>
      <c r="H30" s="26" t="s">
        <v>16</v>
      </c>
      <c r="I30" s="26">
        <v>0</v>
      </c>
      <c r="J30" s="26" t="s">
        <v>16</v>
      </c>
      <c r="K30" s="26">
        <v>0.89</v>
      </c>
      <c r="L30" s="24" t="s">
        <v>113</v>
      </c>
      <c r="M30" s="26"/>
    </row>
    <row r="31" s="4" customFormat="1" ht="32" customHeight="1" spans="1:13">
      <c r="A31" s="26">
        <v>16</v>
      </c>
      <c r="B31" s="26" t="s">
        <v>543</v>
      </c>
      <c r="C31" s="22" t="s">
        <v>546</v>
      </c>
      <c r="D31" s="22" t="s">
        <v>547</v>
      </c>
      <c r="E31" s="26">
        <v>28.923939</v>
      </c>
      <c r="F31" s="25">
        <f t="shared" si="3"/>
        <v>0.87</v>
      </c>
      <c r="G31" s="26">
        <v>0</v>
      </c>
      <c r="H31" s="26" t="s">
        <v>16</v>
      </c>
      <c r="I31" s="26">
        <v>0</v>
      </c>
      <c r="J31" s="26" t="s">
        <v>16</v>
      </c>
      <c r="K31" s="26">
        <v>0.87</v>
      </c>
      <c r="L31" s="24" t="s">
        <v>113</v>
      </c>
      <c r="M31" s="26"/>
    </row>
    <row r="32" s="4" customFormat="1" ht="32" customHeight="1" spans="1:13">
      <c r="A32" s="26">
        <v>17</v>
      </c>
      <c r="B32" s="26" t="s">
        <v>543</v>
      </c>
      <c r="C32" s="22" t="s">
        <v>548</v>
      </c>
      <c r="D32" s="22" t="s">
        <v>549</v>
      </c>
      <c r="E32" s="26">
        <v>30.825426</v>
      </c>
      <c r="F32" s="25">
        <f t="shared" si="3"/>
        <v>0.92</v>
      </c>
      <c r="G32" s="26">
        <v>0</v>
      </c>
      <c r="H32" s="26" t="s">
        <v>16</v>
      </c>
      <c r="I32" s="26">
        <v>0</v>
      </c>
      <c r="J32" s="26" t="s">
        <v>16</v>
      </c>
      <c r="K32" s="26">
        <v>0.92</v>
      </c>
      <c r="L32" s="24" t="s">
        <v>113</v>
      </c>
      <c r="M32" s="26"/>
    </row>
    <row r="33" s="4" customFormat="1" ht="32" customHeight="1" spans="1:13">
      <c r="A33" s="26">
        <v>18</v>
      </c>
      <c r="B33" s="26" t="s">
        <v>543</v>
      </c>
      <c r="C33" s="22" t="s">
        <v>550</v>
      </c>
      <c r="D33" s="22" t="s">
        <v>551</v>
      </c>
      <c r="E33" s="25">
        <v>40.318481</v>
      </c>
      <c r="F33" s="25">
        <f t="shared" si="3"/>
        <v>1.21</v>
      </c>
      <c r="G33" s="26">
        <v>0</v>
      </c>
      <c r="H33" s="26" t="s">
        <v>16</v>
      </c>
      <c r="I33" s="26">
        <v>0</v>
      </c>
      <c r="J33" s="26" t="s">
        <v>16</v>
      </c>
      <c r="K33" s="26">
        <v>1.21</v>
      </c>
      <c r="L33" s="24" t="s">
        <v>113</v>
      </c>
      <c r="M33" s="26"/>
    </row>
    <row r="34" s="4" customFormat="1" ht="32" customHeight="1" spans="1:13">
      <c r="A34" s="26">
        <v>19</v>
      </c>
      <c r="B34" s="26" t="s">
        <v>543</v>
      </c>
      <c r="C34" s="22" t="s">
        <v>552</v>
      </c>
      <c r="D34" s="22" t="s">
        <v>553</v>
      </c>
      <c r="E34" s="26">
        <v>34.956317</v>
      </c>
      <c r="F34" s="25">
        <f t="shared" si="3"/>
        <v>1.05</v>
      </c>
      <c r="G34" s="26">
        <v>0</v>
      </c>
      <c r="H34" s="26" t="s">
        <v>16</v>
      </c>
      <c r="I34" s="26">
        <v>0</v>
      </c>
      <c r="J34" s="26" t="s">
        <v>16</v>
      </c>
      <c r="K34" s="93">
        <v>1.05</v>
      </c>
      <c r="L34" s="24" t="s">
        <v>113</v>
      </c>
      <c r="M34" s="26"/>
    </row>
    <row r="35" s="4" customFormat="1" ht="32" customHeight="1" spans="1:13">
      <c r="A35" s="26">
        <v>20</v>
      </c>
      <c r="B35" s="26" t="s">
        <v>543</v>
      </c>
      <c r="C35" s="22" t="s">
        <v>554</v>
      </c>
      <c r="D35" s="22" t="s">
        <v>555</v>
      </c>
      <c r="E35" s="25">
        <v>42.451075</v>
      </c>
      <c r="F35" s="25">
        <f t="shared" si="3"/>
        <v>1.246089</v>
      </c>
      <c r="G35" s="26">
        <v>0</v>
      </c>
      <c r="H35" s="26" t="s">
        <v>16</v>
      </c>
      <c r="I35" s="26">
        <v>0</v>
      </c>
      <c r="J35" s="26" t="s">
        <v>16</v>
      </c>
      <c r="K35" s="97">
        <v>1.246089</v>
      </c>
      <c r="L35" s="103" t="s">
        <v>113</v>
      </c>
      <c r="M35" s="26"/>
    </row>
    <row r="36" s="4" customFormat="1" ht="32" customHeight="1" spans="1:13">
      <c r="A36" s="26">
        <v>21</v>
      </c>
      <c r="B36" s="26" t="s">
        <v>556</v>
      </c>
      <c r="C36" s="22" t="s">
        <v>557</v>
      </c>
      <c r="D36" s="22" t="s">
        <v>558</v>
      </c>
      <c r="E36" s="25">
        <v>42.003711</v>
      </c>
      <c r="F36" s="25">
        <f t="shared" si="3"/>
        <v>1.255473</v>
      </c>
      <c r="G36" s="26">
        <v>0</v>
      </c>
      <c r="H36" s="26" t="s">
        <v>16</v>
      </c>
      <c r="I36" s="26">
        <v>0</v>
      </c>
      <c r="J36" s="26" t="s">
        <v>16</v>
      </c>
      <c r="K36" s="97">
        <v>1.255473</v>
      </c>
      <c r="L36" s="103" t="s">
        <v>113</v>
      </c>
      <c r="M36" s="26"/>
    </row>
    <row r="37" s="4" customFormat="1" ht="32" customHeight="1" spans="1:13">
      <c r="A37" s="26">
        <v>22</v>
      </c>
      <c r="B37" s="26" t="s">
        <v>559</v>
      </c>
      <c r="C37" s="22" t="s">
        <v>560</v>
      </c>
      <c r="D37" s="22" t="s">
        <v>561</v>
      </c>
      <c r="E37" s="25">
        <v>50.775528</v>
      </c>
      <c r="F37" s="25">
        <f t="shared" si="3"/>
        <v>1.5158</v>
      </c>
      <c r="G37" s="26">
        <v>0</v>
      </c>
      <c r="H37" s="26" t="s">
        <v>16</v>
      </c>
      <c r="I37" s="26">
        <v>0</v>
      </c>
      <c r="J37" s="26" t="s">
        <v>16</v>
      </c>
      <c r="K37" s="26">
        <v>1.5158</v>
      </c>
      <c r="L37" s="24" t="s">
        <v>113</v>
      </c>
      <c r="M37" s="26"/>
    </row>
    <row r="38" s="4" customFormat="1" ht="32" customHeight="1" spans="1:13">
      <c r="A38" s="26">
        <v>23</v>
      </c>
      <c r="B38" s="26" t="s">
        <v>559</v>
      </c>
      <c r="C38" s="22" t="s">
        <v>562</v>
      </c>
      <c r="D38" s="22" t="s">
        <v>563</v>
      </c>
      <c r="E38" s="25">
        <v>12.878037</v>
      </c>
      <c r="F38" s="25">
        <f t="shared" si="3"/>
        <v>0.313407</v>
      </c>
      <c r="G38" s="26">
        <v>0</v>
      </c>
      <c r="H38" s="26" t="s">
        <v>16</v>
      </c>
      <c r="I38" s="26">
        <v>0</v>
      </c>
      <c r="J38" s="26" t="s">
        <v>16</v>
      </c>
      <c r="K38" s="97">
        <v>0.313407</v>
      </c>
      <c r="L38" s="103" t="s">
        <v>113</v>
      </c>
      <c r="M38" s="26"/>
    </row>
    <row r="39" s="4" customFormat="1" ht="32" customHeight="1" spans="1:13">
      <c r="A39" s="26">
        <v>24</v>
      </c>
      <c r="B39" s="26" t="s">
        <v>564</v>
      </c>
      <c r="C39" s="22" t="s">
        <v>565</v>
      </c>
      <c r="D39" s="22" t="s">
        <v>566</v>
      </c>
      <c r="E39" s="25">
        <v>22.828022</v>
      </c>
      <c r="F39" s="25">
        <f t="shared" si="3"/>
        <v>0.652153</v>
      </c>
      <c r="G39" s="26">
        <v>0</v>
      </c>
      <c r="H39" s="26" t="s">
        <v>16</v>
      </c>
      <c r="I39" s="26">
        <v>0</v>
      </c>
      <c r="J39" s="26" t="s">
        <v>16</v>
      </c>
      <c r="K39" s="97">
        <v>0.652153</v>
      </c>
      <c r="L39" s="103" t="s">
        <v>113</v>
      </c>
      <c r="M39" s="26"/>
    </row>
    <row r="40" s="4" customFormat="1" ht="32" customHeight="1" spans="1:13">
      <c r="A40" s="26">
        <v>25</v>
      </c>
      <c r="B40" s="26" t="s">
        <v>564</v>
      </c>
      <c r="C40" s="22" t="s">
        <v>507</v>
      </c>
      <c r="D40" s="22" t="s">
        <v>567</v>
      </c>
      <c r="E40" s="26">
        <v>42.074576</v>
      </c>
      <c r="F40" s="25">
        <f t="shared" si="3"/>
        <v>1.28798</v>
      </c>
      <c r="G40" s="26">
        <v>0</v>
      </c>
      <c r="H40" s="26" t="s">
        <v>16</v>
      </c>
      <c r="I40" s="26">
        <v>0</v>
      </c>
      <c r="J40" s="26" t="s">
        <v>16</v>
      </c>
      <c r="K40" s="93">
        <v>1.28798</v>
      </c>
      <c r="L40" s="24" t="s">
        <v>113</v>
      </c>
      <c r="M40" s="26"/>
    </row>
    <row r="41" s="5" customFormat="1" ht="36" customHeight="1" spans="1:13">
      <c r="A41" s="19" t="s">
        <v>54</v>
      </c>
      <c r="B41" s="19"/>
      <c r="C41" s="19"/>
      <c r="D41" s="19" t="s">
        <v>80</v>
      </c>
      <c r="E41" s="95">
        <f>E42</f>
        <v>60.25592</v>
      </c>
      <c r="F41" s="29">
        <f t="shared" si="3"/>
        <v>60.25592</v>
      </c>
      <c r="G41" s="29">
        <f>G42</f>
        <v>0</v>
      </c>
      <c r="H41" s="29"/>
      <c r="I41" s="29">
        <f>I42</f>
        <v>0</v>
      </c>
      <c r="J41" s="29"/>
      <c r="K41" s="29">
        <f>K42</f>
        <v>60.25592</v>
      </c>
      <c r="L41" s="29"/>
      <c r="M41" s="29"/>
    </row>
    <row r="42" s="6" customFormat="1" ht="36" customHeight="1" spans="1:13">
      <c r="A42" s="25">
        <v>1</v>
      </c>
      <c r="B42" s="25" t="s">
        <v>497</v>
      </c>
      <c r="C42" s="25" t="s">
        <v>54</v>
      </c>
      <c r="D42" s="25" t="s">
        <v>16</v>
      </c>
      <c r="E42" s="94">
        <v>60.25592</v>
      </c>
      <c r="F42" s="21">
        <f t="shared" si="3"/>
        <v>60.25592</v>
      </c>
      <c r="G42" s="26">
        <v>0</v>
      </c>
      <c r="H42" s="26" t="s">
        <v>16</v>
      </c>
      <c r="I42" s="26">
        <v>0</v>
      </c>
      <c r="J42" s="26" t="s">
        <v>16</v>
      </c>
      <c r="K42" s="21">
        <f>70-11.193878+1.449798</f>
        <v>60.25592</v>
      </c>
      <c r="L42" s="24" t="s">
        <v>568</v>
      </c>
      <c r="M42" s="21"/>
    </row>
    <row r="43" s="6" customFormat="1" ht="12"/>
    <row r="44" s="6" customFormat="1" ht="12"/>
  </sheetData>
  <mergeCells count="16">
    <mergeCell ref="A1:C1"/>
    <mergeCell ref="A2:M2"/>
    <mergeCell ref="A3:M3"/>
    <mergeCell ref="F4:L4"/>
    <mergeCell ref="B6:C6"/>
    <mergeCell ref="A7:C7"/>
    <mergeCell ref="A9:C9"/>
    <mergeCell ref="A12:C12"/>
    <mergeCell ref="A15:C15"/>
    <mergeCell ref="A41:C41"/>
    <mergeCell ref="A4:A5"/>
    <mergeCell ref="B4:B5"/>
    <mergeCell ref="C4:C5"/>
    <mergeCell ref="D4:D5"/>
    <mergeCell ref="E4:E5"/>
    <mergeCell ref="M4:M5"/>
  </mergeCells>
  <pageMargins left="0.118055555555556" right="0.118055555555556" top="0.354166666666667" bottom="0.472222222222222" header="0.314583333333333" footer="0.5"/>
  <pageSetup paperSize="9" scale="50" fitToHeight="0" orientation="portrait" horizontalDpi="600"/>
  <headerFooter/>
  <ignoredErrors>
    <ignoredError sqref="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S14"/>
  <sheetViews>
    <sheetView view="pageBreakPreview" zoomScaleNormal="90" workbookViewId="0">
      <pane ySplit="6" topLeftCell="A7" activePane="bottomLeft" state="frozen"/>
      <selection/>
      <selection pane="bottomLeft" activeCell="E8" sqref="E8"/>
    </sheetView>
  </sheetViews>
  <sheetFormatPr defaultColWidth="9" defaultRowHeight="30" customHeight="1"/>
  <cols>
    <col min="1" max="1" width="3.96296296296296" style="59" customWidth="1"/>
    <col min="2" max="2" width="12.7777777777778" style="59" customWidth="1"/>
    <col min="3" max="3" width="34.1111111111111" style="59" customWidth="1"/>
    <col min="4" max="4" width="18.1111111111111" style="59" customWidth="1"/>
    <col min="5" max="5" width="15.5462962962963" style="59" customWidth="1"/>
    <col min="6" max="6" width="14.6018518518519" style="59" customWidth="1"/>
    <col min="7" max="9" width="10.1111111111111" style="59" customWidth="1"/>
    <col min="10" max="10" width="15.1296296296296" style="59" customWidth="1"/>
    <col min="11" max="12" width="10.1111111111111" style="59" customWidth="1"/>
    <col min="13" max="13" width="9" style="59"/>
    <col min="14" max="14" width="13.6481481481481" style="59" customWidth="1"/>
    <col min="15" max="15" width="11.7777777777778" style="59"/>
    <col min="16" max="32" width="9" style="59"/>
    <col min="33" max="16384" width="17.5555555555556" style="59"/>
  </cols>
  <sheetData>
    <row r="1" customHeight="1" spans="1:3">
      <c r="A1" s="60" t="s">
        <v>569</v>
      </c>
      <c r="B1" s="60"/>
      <c r="C1" s="60"/>
    </row>
    <row r="2" s="51" customFormat="1" customHeight="1" spans="1:13">
      <c r="A2" s="61" t="s">
        <v>570</v>
      </c>
      <c r="B2" s="61"/>
      <c r="C2" s="61"/>
      <c r="D2" s="61"/>
      <c r="E2" s="62"/>
      <c r="F2" s="63"/>
      <c r="G2" s="62"/>
      <c r="H2" s="62"/>
      <c r="I2" s="62"/>
      <c r="J2" s="62"/>
      <c r="K2" s="62"/>
      <c r="L2" s="62"/>
      <c r="M2" s="62"/>
    </row>
    <row r="3" s="52" customFormat="1" customHeight="1" spans="1:13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="53" customFormat="1" customHeight="1" spans="1:13">
      <c r="A4" s="65" t="s">
        <v>1</v>
      </c>
      <c r="B4" s="65" t="s">
        <v>76</v>
      </c>
      <c r="C4" s="65" t="s">
        <v>77</v>
      </c>
      <c r="D4" s="65" t="s">
        <v>7</v>
      </c>
      <c r="E4" s="66" t="s">
        <v>78</v>
      </c>
      <c r="F4" s="67" t="s">
        <v>79</v>
      </c>
      <c r="G4" s="67"/>
      <c r="H4" s="67"/>
      <c r="I4" s="67"/>
      <c r="J4" s="67"/>
      <c r="K4" s="67"/>
      <c r="L4" s="67"/>
      <c r="M4" s="65" t="s">
        <v>6</v>
      </c>
    </row>
    <row r="5" s="53" customFormat="1" customHeight="1" spans="1:13">
      <c r="A5" s="65"/>
      <c r="B5" s="65"/>
      <c r="C5" s="65"/>
      <c r="D5" s="65"/>
      <c r="E5" s="66"/>
      <c r="F5" s="67" t="s">
        <v>80</v>
      </c>
      <c r="G5" s="68" t="s">
        <v>11</v>
      </c>
      <c r="H5" s="66" t="s">
        <v>12</v>
      </c>
      <c r="I5" s="66" t="s">
        <v>13</v>
      </c>
      <c r="J5" s="66" t="s">
        <v>12</v>
      </c>
      <c r="K5" s="66" t="s">
        <v>14</v>
      </c>
      <c r="L5" s="66" t="s">
        <v>12</v>
      </c>
      <c r="M5" s="65"/>
    </row>
    <row r="6" s="54" customFormat="1" ht="37" customHeight="1" spans="1:13">
      <c r="A6" s="66">
        <f>A10+A12</f>
        <v>4</v>
      </c>
      <c r="B6" s="69" t="s">
        <v>571</v>
      </c>
      <c r="C6" s="70"/>
      <c r="D6" s="66"/>
      <c r="E6" s="66">
        <f>E7+E11</f>
        <v>404.129917</v>
      </c>
      <c r="F6" s="71">
        <f t="shared" ref="F6:F12" si="0">G6+I6+K6</f>
        <v>134.777345</v>
      </c>
      <c r="G6" s="71">
        <f>G7+G11</f>
        <v>0</v>
      </c>
      <c r="H6" s="71"/>
      <c r="I6" s="71">
        <f>I7+I11</f>
        <v>40.292245</v>
      </c>
      <c r="J6" s="71"/>
      <c r="K6" s="71">
        <f>K7+K11</f>
        <v>94.4851</v>
      </c>
      <c r="L6" s="71"/>
      <c r="M6" s="71"/>
    </row>
    <row r="7" s="55" customFormat="1" ht="36" customHeight="1" spans="1:13">
      <c r="A7" s="72" t="s">
        <v>124</v>
      </c>
      <c r="B7" s="72"/>
      <c r="C7" s="72"/>
      <c r="D7" s="72" t="s">
        <v>80</v>
      </c>
      <c r="E7" s="72">
        <f>SUM(E8:E10)</f>
        <v>349.63</v>
      </c>
      <c r="F7" s="72">
        <f t="shared" si="0"/>
        <v>80.277428</v>
      </c>
      <c r="G7" s="72">
        <f t="shared" ref="F7:K7" si="1">SUM(G8:G10)</f>
        <v>0</v>
      </c>
      <c r="H7" s="72"/>
      <c r="I7" s="72">
        <f t="shared" si="1"/>
        <v>40.292245</v>
      </c>
      <c r="J7" s="72"/>
      <c r="K7" s="72">
        <f t="shared" si="1"/>
        <v>39.985183</v>
      </c>
      <c r="L7" s="82"/>
      <c r="M7" s="82"/>
    </row>
    <row r="8" s="56" customFormat="1" ht="54" customHeight="1" spans="1:13">
      <c r="A8" s="73">
        <v>1</v>
      </c>
      <c r="B8" s="73" t="s">
        <v>118</v>
      </c>
      <c r="C8" s="73" t="s">
        <v>572</v>
      </c>
      <c r="D8" s="73" t="s">
        <v>573</v>
      </c>
      <c r="E8" s="73">
        <v>152.76</v>
      </c>
      <c r="F8" s="74">
        <f t="shared" si="0"/>
        <v>44.506427</v>
      </c>
      <c r="G8" s="73">
        <v>0</v>
      </c>
      <c r="H8" s="73" t="s">
        <v>16</v>
      </c>
      <c r="I8" s="73">
        <f>2.27882+2.229114+0.01331</f>
        <v>4.521244</v>
      </c>
      <c r="J8" s="73" t="s">
        <v>574</v>
      </c>
      <c r="K8" s="73">
        <v>39.985183</v>
      </c>
      <c r="L8" s="73" t="s">
        <v>159</v>
      </c>
      <c r="M8" s="73"/>
    </row>
    <row r="9" s="56" customFormat="1" ht="45" customHeight="1" spans="1:15">
      <c r="A9" s="73">
        <v>2</v>
      </c>
      <c r="B9" s="75" t="s">
        <v>575</v>
      </c>
      <c r="C9" s="73" t="s">
        <v>576</v>
      </c>
      <c r="D9" s="73" t="s">
        <v>577</v>
      </c>
      <c r="E9" s="76">
        <v>95</v>
      </c>
      <c r="F9" s="74">
        <f t="shared" si="0"/>
        <v>15.402672</v>
      </c>
      <c r="G9" s="73">
        <v>0</v>
      </c>
      <c r="H9" s="73" t="s">
        <v>16</v>
      </c>
      <c r="I9" s="56">
        <v>15.402672</v>
      </c>
      <c r="J9" s="73" t="s">
        <v>578</v>
      </c>
      <c r="K9" s="73">
        <v>0</v>
      </c>
      <c r="L9" s="73" t="s">
        <v>16</v>
      </c>
      <c r="M9" s="73"/>
      <c r="O9" s="57"/>
    </row>
    <row r="10" s="56" customFormat="1" ht="39" customHeight="1" spans="1:13">
      <c r="A10" s="73">
        <v>3</v>
      </c>
      <c r="B10" s="73" t="s">
        <v>180</v>
      </c>
      <c r="C10" s="73" t="s">
        <v>579</v>
      </c>
      <c r="D10" s="73" t="s">
        <v>580</v>
      </c>
      <c r="E10" s="73">
        <v>101.87</v>
      </c>
      <c r="F10" s="73">
        <f t="shared" si="0"/>
        <v>20.368329</v>
      </c>
      <c r="G10" s="73">
        <v>0</v>
      </c>
      <c r="H10" s="73" t="s">
        <v>16</v>
      </c>
      <c r="I10" s="73">
        <v>20.368329</v>
      </c>
      <c r="J10" s="83" t="s">
        <v>97</v>
      </c>
      <c r="K10" s="73">
        <v>0</v>
      </c>
      <c r="L10" s="73" t="s">
        <v>16</v>
      </c>
      <c r="M10" s="73"/>
    </row>
    <row r="11" s="57" customFormat="1" customHeight="1" spans="1:13">
      <c r="A11" s="77" t="s">
        <v>54</v>
      </c>
      <c r="B11" s="78"/>
      <c r="C11" s="79"/>
      <c r="D11" s="80" t="s">
        <v>10</v>
      </c>
      <c r="E11" s="80">
        <f>E12</f>
        <v>54.499917</v>
      </c>
      <c r="F11" s="80">
        <f t="shared" si="0"/>
        <v>54.499917</v>
      </c>
      <c r="G11" s="80">
        <f>G12</f>
        <v>0</v>
      </c>
      <c r="H11" s="80"/>
      <c r="I11" s="80">
        <f>I12</f>
        <v>0</v>
      </c>
      <c r="J11" s="80"/>
      <c r="K11" s="80">
        <f>K12</f>
        <v>54.499917</v>
      </c>
      <c r="L11" s="80"/>
      <c r="M11" s="80"/>
    </row>
    <row r="12" s="56" customFormat="1" ht="37" customHeight="1" spans="1:16347">
      <c r="A12" s="73">
        <v>1</v>
      </c>
      <c r="B12" s="81" t="s">
        <v>581</v>
      </c>
      <c r="C12" s="81" t="s">
        <v>54</v>
      </c>
      <c r="D12" s="73" t="s">
        <v>16</v>
      </c>
      <c r="E12" s="73">
        <v>54.499917</v>
      </c>
      <c r="F12" s="73">
        <f t="shared" si="0"/>
        <v>54.499917</v>
      </c>
      <c r="G12" s="73">
        <v>0</v>
      </c>
      <c r="H12" s="73" t="s">
        <v>16</v>
      </c>
      <c r="I12" s="73">
        <v>0</v>
      </c>
      <c r="J12" s="73" t="s">
        <v>16</v>
      </c>
      <c r="K12" s="73">
        <f>53.099917+1.4</f>
        <v>54.499917</v>
      </c>
      <c r="L12" s="83" t="s">
        <v>113</v>
      </c>
      <c r="M12" s="84"/>
      <c r="XDR12" s="85"/>
      <c r="XDS12" s="85"/>
    </row>
    <row r="13" s="58" customFormat="1" customHeight="1"/>
    <row r="14" s="58" customFormat="1" customHeight="1"/>
  </sheetData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14583333333333" right="0.236111111111111" top="0.511805555555556" bottom="0.156944444444444" header="0.5" footer="0.118055555555556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view="pageBreakPreview" zoomScale="80" zoomScaleNormal="85" workbookViewId="0">
      <pane ySplit="6" topLeftCell="A19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5.83333333333333" style="1" customWidth="1"/>
    <col min="2" max="2" width="16.5277777777778" style="1" customWidth="1"/>
    <col min="3" max="3" width="38.75" style="1" customWidth="1"/>
    <col min="4" max="4" width="44.3796296296296" style="1" customWidth="1"/>
    <col min="5" max="5" width="14.7222222222222" style="1" customWidth="1"/>
    <col min="6" max="6" width="13.4722222222222" style="1" customWidth="1"/>
    <col min="7" max="7" width="11.9444444444444" style="1" customWidth="1"/>
    <col min="8" max="8" width="9.68518518518519" style="1" customWidth="1"/>
    <col min="9" max="9" width="13.1944444444444" style="1" customWidth="1"/>
    <col min="10" max="10" width="9.84259259259259" style="1" customWidth="1"/>
    <col min="11" max="11" width="11.25" style="1" customWidth="1"/>
    <col min="12" max="12" width="10.6944444444444" style="1" customWidth="1"/>
    <col min="13" max="32" width="9" style="1"/>
    <col min="33" max="16384" width="48.2314814814815" style="1"/>
  </cols>
  <sheetData>
    <row r="1" s="9" customFormat="1" customHeight="1" spans="1:16384">
      <c r="A1" s="9" t="s">
        <v>53</v>
      </c>
      <c r="D1" s="1"/>
      <c r="E1" s="1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2" customHeight="1" spans="1:13">
      <c r="A2" s="11" t="s">
        <v>582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3" customFormat="1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7" customFormat="1" ht="33" customHeight="1" spans="1:13">
      <c r="A6" s="19">
        <f>A13+A20+A22</f>
        <v>13</v>
      </c>
      <c r="B6" s="31" t="s">
        <v>571</v>
      </c>
      <c r="C6" s="32"/>
      <c r="D6" s="19"/>
      <c r="E6" s="19">
        <f>E7+E14+E21</f>
        <v>452.246837</v>
      </c>
      <c r="F6" s="20">
        <f>F7+F14+F21</f>
        <v>229.186837</v>
      </c>
      <c r="G6" s="20">
        <f>G7+G14+G21</f>
        <v>113</v>
      </c>
      <c r="H6" s="20"/>
      <c r="I6" s="20">
        <f>I7+I14+I21</f>
        <v>99.819637</v>
      </c>
      <c r="J6" s="20"/>
      <c r="K6" s="20">
        <f>K7+K14+K21</f>
        <v>16.3672</v>
      </c>
      <c r="L6" s="20"/>
      <c r="M6" s="20"/>
    </row>
    <row r="7" s="7" customFormat="1" ht="34" customHeight="1" spans="1:13">
      <c r="A7" s="33" t="s">
        <v>583</v>
      </c>
      <c r="B7" s="34"/>
      <c r="C7" s="35"/>
      <c r="D7" s="20" t="s">
        <v>80</v>
      </c>
      <c r="E7" s="20">
        <f>SUM(E8:E13)</f>
        <v>200</v>
      </c>
      <c r="F7" s="20">
        <f>G7+I7+K7</f>
        <v>200</v>
      </c>
      <c r="G7" s="20">
        <f>G8+G9+G10+G11+G12+G13</f>
        <v>113</v>
      </c>
      <c r="H7" s="20"/>
      <c r="I7" s="20">
        <f>I8+I9+I10+I11+I12+I13</f>
        <v>87</v>
      </c>
      <c r="J7" s="20"/>
      <c r="K7" s="20">
        <f>K8+K9+K10+K11+K12+K13</f>
        <v>0</v>
      </c>
      <c r="L7" s="20"/>
      <c r="M7" s="20"/>
    </row>
    <row r="8" s="4" customFormat="1" ht="53" customHeight="1" spans="1:13">
      <c r="A8" s="22">
        <v>1</v>
      </c>
      <c r="B8" s="26" t="s">
        <v>244</v>
      </c>
      <c r="C8" s="26" t="s">
        <v>584</v>
      </c>
      <c r="D8" s="36" t="s">
        <v>585</v>
      </c>
      <c r="E8" s="26">
        <v>54.5</v>
      </c>
      <c r="F8" s="26">
        <f t="shared" ref="F8:F14" si="0">G8+I8+K8</f>
        <v>54.5</v>
      </c>
      <c r="G8" s="26">
        <v>44.5</v>
      </c>
      <c r="H8" s="26" t="s">
        <v>586</v>
      </c>
      <c r="I8" s="26">
        <v>10</v>
      </c>
      <c r="J8" s="26" t="s">
        <v>587</v>
      </c>
      <c r="K8" s="26">
        <v>0</v>
      </c>
      <c r="L8" s="26" t="s">
        <v>16</v>
      </c>
      <c r="M8" s="26"/>
    </row>
    <row r="9" s="4" customFormat="1" ht="48" customHeight="1" spans="1:13">
      <c r="A9" s="22">
        <v>2</v>
      </c>
      <c r="B9" s="26" t="s">
        <v>293</v>
      </c>
      <c r="C9" s="22" t="s">
        <v>588</v>
      </c>
      <c r="D9" s="37" t="s">
        <v>589</v>
      </c>
      <c r="E9" s="26">
        <v>55</v>
      </c>
      <c r="F9" s="26">
        <f t="shared" si="0"/>
        <v>55</v>
      </c>
      <c r="G9" s="26">
        <v>10</v>
      </c>
      <c r="H9" s="26" t="s">
        <v>590</v>
      </c>
      <c r="I9" s="26">
        <v>45</v>
      </c>
      <c r="J9" s="26" t="s">
        <v>591</v>
      </c>
      <c r="K9" s="26">
        <v>0</v>
      </c>
      <c r="L9" s="26" t="s">
        <v>16</v>
      </c>
      <c r="M9" s="26"/>
    </row>
    <row r="10" s="4" customFormat="1" ht="48" customHeight="1" spans="1:13">
      <c r="A10" s="22">
        <v>3</v>
      </c>
      <c r="B10" s="26" t="s">
        <v>293</v>
      </c>
      <c r="C10" s="22" t="s">
        <v>592</v>
      </c>
      <c r="D10" s="37" t="s">
        <v>593</v>
      </c>
      <c r="E10" s="26">
        <v>39</v>
      </c>
      <c r="F10" s="26">
        <f t="shared" si="0"/>
        <v>39</v>
      </c>
      <c r="G10" s="26">
        <v>39</v>
      </c>
      <c r="H10" s="26" t="s">
        <v>586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4" customFormat="1" ht="48" customHeight="1" spans="1:13">
      <c r="A11" s="22">
        <v>4</v>
      </c>
      <c r="B11" s="26" t="s">
        <v>293</v>
      </c>
      <c r="C11" s="22" t="s">
        <v>594</v>
      </c>
      <c r="D11" s="37" t="s">
        <v>595</v>
      </c>
      <c r="E11" s="26">
        <v>14</v>
      </c>
      <c r="F11" s="26">
        <f t="shared" si="0"/>
        <v>14</v>
      </c>
      <c r="G11" s="26">
        <v>6</v>
      </c>
      <c r="H11" s="26" t="s">
        <v>586</v>
      </c>
      <c r="I11" s="26">
        <v>8</v>
      </c>
      <c r="J11" s="26" t="s">
        <v>596</v>
      </c>
      <c r="K11" s="26">
        <v>0</v>
      </c>
      <c r="L11" s="26" t="s">
        <v>16</v>
      </c>
      <c r="M11" s="26"/>
    </row>
    <row r="12" s="4" customFormat="1" ht="48" customHeight="1" spans="1:13">
      <c r="A12" s="22">
        <v>5</v>
      </c>
      <c r="B12" s="38" t="s">
        <v>497</v>
      </c>
      <c r="C12" s="26" t="s">
        <v>597</v>
      </c>
      <c r="D12" s="37" t="s">
        <v>598</v>
      </c>
      <c r="E12" s="26">
        <v>24</v>
      </c>
      <c r="F12" s="26">
        <f t="shared" si="0"/>
        <v>24</v>
      </c>
      <c r="G12" s="26">
        <v>0</v>
      </c>
      <c r="H12" s="26" t="s">
        <v>16</v>
      </c>
      <c r="I12" s="26">
        <v>24</v>
      </c>
      <c r="J12" s="26" t="s">
        <v>599</v>
      </c>
      <c r="K12" s="26">
        <v>0</v>
      </c>
      <c r="L12" s="26" t="s">
        <v>16</v>
      </c>
      <c r="M12" s="26"/>
    </row>
    <row r="13" s="4" customFormat="1" ht="48" customHeight="1" spans="1:13">
      <c r="A13" s="22">
        <v>6</v>
      </c>
      <c r="B13" s="38" t="s">
        <v>497</v>
      </c>
      <c r="C13" s="26" t="s">
        <v>600</v>
      </c>
      <c r="D13" s="37" t="s">
        <v>601</v>
      </c>
      <c r="E13" s="26">
        <v>13.5</v>
      </c>
      <c r="F13" s="26">
        <f t="shared" si="0"/>
        <v>13.5</v>
      </c>
      <c r="G13" s="26">
        <v>13.5</v>
      </c>
      <c r="H13" s="26" t="s">
        <v>586</v>
      </c>
      <c r="I13" s="26">
        <v>0</v>
      </c>
      <c r="J13" s="26" t="s">
        <v>16</v>
      </c>
      <c r="K13" s="26">
        <v>0</v>
      </c>
      <c r="L13" s="26" t="s">
        <v>16</v>
      </c>
      <c r="M13" s="26"/>
    </row>
    <row r="14" s="7" customFormat="1" ht="38" customHeight="1" spans="1:13">
      <c r="A14" s="39" t="s">
        <v>124</v>
      </c>
      <c r="B14" s="40"/>
      <c r="C14" s="41"/>
      <c r="D14" s="42" t="s">
        <v>80</v>
      </c>
      <c r="E14" s="42">
        <f>SUM(E15:E20)</f>
        <v>235.879637</v>
      </c>
      <c r="F14" s="42">
        <f t="shared" si="0"/>
        <v>12.819637</v>
      </c>
      <c r="G14" s="42">
        <f>SUM(G15:G20)</f>
        <v>0</v>
      </c>
      <c r="H14" s="42"/>
      <c r="I14" s="42">
        <f>SUM(I15:I20)</f>
        <v>12.819637</v>
      </c>
      <c r="J14" s="42"/>
      <c r="K14" s="42">
        <f>SUM(K15:K20)</f>
        <v>0</v>
      </c>
      <c r="L14" s="20"/>
      <c r="M14" s="20"/>
    </row>
    <row r="15" s="4" customFormat="1" ht="38" customHeight="1" spans="1:13">
      <c r="A15" s="43">
        <v>1</v>
      </c>
      <c r="B15" s="44" t="s">
        <v>602</v>
      </c>
      <c r="C15" s="45" t="s">
        <v>603</v>
      </c>
      <c r="D15" s="46" t="s">
        <v>604</v>
      </c>
      <c r="E15" s="47">
        <v>43.203183</v>
      </c>
      <c r="F15" s="22">
        <f t="shared" ref="F15:F22" si="1">G15+I15+K15</f>
        <v>1.303183</v>
      </c>
      <c r="G15" s="26">
        <v>0</v>
      </c>
      <c r="H15" s="26" t="s">
        <v>16</v>
      </c>
      <c r="I15" s="26">
        <v>1.303183</v>
      </c>
      <c r="J15" s="26" t="s">
        <v>89</v>
      </c>
      <c r="K15" s="26">
        <v>0</v>
      </c>
      <c r="L15" s="26" t="s">
        <v>16</v>
      </c>
      <c r="M15" s="26"/>
    </row>
    <row r="16" s="4" customFormat="1" ht="38" customHeight="1" spans="1:13">
      <c r="A16" s="22">
        <v>2</v>
      </c>
      <c r="B16" s="46" t="s">
        <v>605</v>
      </c>
      <c r="C16" s="47" t="s">
        <v>606</v>
      </c>
      <c r="D16" s="46" t="s">
        <v>607</v>
      </c>
      <c r="E16" s="47">
        <v>84.314127</v>
      </c>
      <c r="F16" s="22">
        <f t="shared" si="1"/>
        <v>4.314127</v>
      </c>
      <c r="G16" s="26">
        <v>0</v>
      </c>
      <c r="H16" s="26" t="s">
        <v>16</v>
      </c>
      <c r="I16" s="26">
        <v>4.314127</v>
      </c>
      <c r="J16" s="26" t="s">
        <v>89</v>
      </c>
      <c r="K16" s="26">
        <v>0</v>
      </c>
      <c r="L16" s="26" t="s">
        <v>16</v>
      </c>
      <c r="M16" s="26"/>
    </row>
    <row r="17" s="4" customFormat="1" ht="38" customHeight="1" spans="1:13">
      <c r="A17" s="22">
        <v>3</v>
      </c>
      <c r="B17" s="44" t="s">
        <v>608</v>
      </c>
      <c r="C17" s="47" t="s">
        <v>609</v>
      </c>
      <c r="D17" s="46" t="s">
        <v>610</v>
      </c>
      <c r="E17" s="47">
        <v>13.381929</v>
      </c>
      <c r="F17" s="22">
        <f t="shared" si="1"/>
        <v>1.381929</v>
      </c>
      <c r="G17" s="26">
        <v>0</v>
      </c>
      <c r="H17" s="26" t="s">
        <v>16</v>
      </c>
      <c r="I17" s="26">
        <v>1.381929</v>
      </c>
      <c r="J17" s="26" t="s">
        <v>89</v>
      </c>
      <c r="K17" s="26">
        <v>0</v>
      </c>
      <c r="L17" s="26" t="s">
        <v>16</v>
      </c>
      <c r="M17" s="26"/>
    </row>
    <row r="18" s="4" customFormat="1" ht="38" customHeight="1" spans="1:13">
      <c r="A18" s="22">
        <v>4</v>
      </c>
      <c r="B18" s="44" t="s">
        <v>608</v>
      </c>
      <c r="C18" s="47" t="s">
        <v>611</v>
      </c>
      <c r="D18" s="46" t="s">
        <v>612</v>
      </c>
      <c r="E18" s="47">
        <v>34.64305</v>
      </c>
      <c r="F18" s="22">
        <f t="shared" si="1"/>
        <v>1.48305000000001</v>
      </c>
      <c r="G18" s="26">
        <v>0</v>
      </c>
      <c r="H18" s="26" t="s">
        <v>16</v>
      </c>
      <c r="I18" s="26">
        <v>1.48305000000001</v>
      </c>
      <c r="J18" s="26" t="s">
        <v>89</v>
      </c>
      <c r="K18" s="26">
        <v>0</v>
      </c>
      <c r="L18" s="26" t="s">
        <v>16</v>
      </c>
      <c r="M18" s="26"/>
    </row>
    <row r="19" s="4" customFormat="1" ht="38" customHeight="1" spans="1:13">
      <c r="A19" s="22">
        <v>5</v>
      </c>
      <c r="B19" s="44" t="s">
        <v>608</v>
      </c>
      <c r="C19" s="47" t="s">
        <v>613</v>
      </c>
      <c r="D19" s="46" t="s">
        <v>614</v>
      </c>
      <c r="E19" s="47">
        <v>17.956209</v>
      </c>
      <c r="F19" s="22">
        <f t="shared" si="1"/>
        <v>1.956209</v>
      </c>
      <c r="G19" s="26">
        <v>0</v>
      </c>
      <c r="H19" s="26" t="s">
        <v>16</v>
      </c>
      <c r="I19" s="26">
        <v>1.956209</v>
      </c>
      <c r="J19" s="26" t="s">
        <v>89</v>
      </c>
      <c r="K19" s="26">
        <v>0</v>
      </c>
      <c r="L19" s="26" t="s">
        <v>16</v>
      </c>
      <c r="M19" s="26"/>
    </row>
    <row r="20" s="4" customFormat="1" ht="38" customHeight="1" spans="1:13">
      <c r="A20" s="22">
        <v>6</v>
      </c>
      <c r="B20" s="44" t="s">
        <v>602</v>
      </c>
      <c r="C20" s="22" t="s">
        <v>615</v>
      </c>
      <c r="D20" s="48" t="s">
        <v>616</v>
      </c>
      <c r="E20" s="22">
        <v>42.381139</v>
      </c>
      <c r="F20" s="22">
        <f t="shared" si="1"/>
        <v>2.381139</v>
      </c>
      <c r="G20" s="26">
        <v>0</v>
      </c>
      <c r="H20" s="26" t="s">
        <v>16</v>
      </c>
      <c r="I20" s="26">
        <v>2.381139</v>
      </c>
      <c r="J20" s="26" t="s">
        <v>89</v>
      </c>
      <c r="K20" s="26">
        <v>0</v>
      </c>
      <c r="L20" s="26" t="s">
        <v>16</v>
      </c>
      <c r="M20" s="26"/>
    </row>
    <row r="21" s="7" customFormat="1" ht="38" customHeight="1" spans="1:13">
      <c r="A21" s="20" t="s">
        <v>54</v>
      </c>
      <c r="B21" s="20"/>
      <c r="C21" s="20"/>
      <c r="D21" s="20" t="s">
        <v>80</v>
      </c>
      <c r="E21" s="20">
        <f>E22</f>
        <v>16.3672</v>
      </c>
      <c r="F21" s="20">
        <f t="shared" si="1"/>
        <v>16.3672</v>
      </c>
      <c r="G21" s="20">
        <f>G22</f>
        <v>0</v>
      </c>
      <c r="H21" s="20"/>
      <c r="I21" s="20">
        <f>I22</f>
        <v>0</v>
      </c>
      <c r="J21" s="20"/>
      <c r="K21" s="20">
        <f>K22</f>
        <v>16.3672</v>
      </c>
      <c r="L21" s="20"/>
      <c r="M21" s="20"/>
    </row>
    <row r="22" s="4" customFormat="1" ht="38" customHeight="1" spans="1:16357">
      <c r="A22" s="26">
        <v>1</v>
      </c>
      <c r="B22" s="28" t="s">
        <v>581</v>
      </c>
      <c r="C22" s="28" t="s">
        <v>54</v>
      </c>
      <c r="D22" s="26"/>
      <c r="E22" s="26">
        <v>16.3672</v>
      </c>
      <c r="F22" s="20">
        <f t="shared" si="1"/>
        <v>16.3672</v>
      </c>
      <c r="G22" s="26">
        <v>0</v>
      </c>
      <c r="H22" s="26" t="s">
        <v>16</v>
      </c>
      <c r="I22" s="26">
        <v>0</v>
      </c>
      <c r="J22" s="26" t="s">
        <v>16</v>
      </c>
      <c r="K22" s="26">
        <v>16.3672</v>
      </c>
      <c r="L22" s="24" t="s">
        <v>113</v>
      </c>
      <c r="M22" s="26"/>
      <c r="XEB22" s="23"/>
      <c r="XEC22" s="23"/>
    </row>
    <row r="23" customHeight="1" spans="4:6">
      <c r="D23" s="49"/>
      <c r="E23" s="50"/>
      <c r="F23" s="49"/>
    </row>
    <row r="24" customHeight="1" spans="4:6">
      <c r="D24" s="49"/>
      <c r="E24" s="50"/>
      <c r="F24" s="49"/>
    </row>
    <row r="25" customHeight="1" spans="4:6">
      <c r="D25" s="49"/>
      <c r="E25" s="50"/>
      <c r="F25" s="49"/>
    </row>
    <row r="26" customHeight="1" spans="4:6">
      <c r="D26" s="49"/>
      <c r="E26" s="49"/>
      <c r="F26" s="49"/>
    </row>
  </sheetData>
  <mergeCells count="14">
    <mergeCell ref="A1:C1"/>
    <mergeCell ref="A2:M2"/>
    <mergeCell ref="A3:M3"/>
    <mergeCell ref="F4:L4"/>
    <mergeCell ref="B6:C6"/>
    <mergeCell ref="A7:C7"/>
    <mergeCell ref="A14:C14"/>
    <mergeCell ref="A21:C21"/>
    <mergeCell ref="A4:A5"/>
    <mergeCell ref="B4:B5"/>
    <mergeCell ref="C4:C5"/>
    <mergeCell ref="D4:D5"/>
    <mergeCell ref="E4:E5"/>
    <mergeCell ref="M4:M5"/>
  </mergeCells>
  <pageMargins left="0.354166666666667" right="0.0784722222222222" top="0.275" bottom="0" header="0.275" footer="0.118055555555556"/>
  <pageSetup paperSize="9" scale="6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view="pageBreakPreview" zoomScale="90" zoomScaleNormal="70" topLeftCell="C1" workbookViewId="0">
      <pane ySplit="6" topLeftCell="A7" activePane="bottomLeft" state="frozen"/>
      <selection/>
      <selection pane="bottomLeft" activeCell="A1" sqref="$A1:$XFD1048576"/>
    </sheetView>
  </sheetViews>
  <sheetFormatPr defaultColWidth="9.7962962962963" defaultRowHeight="30" customHeight="1"/>
  <cols>
    <col min="1" max="1" width="7.05555555555556" style="8" customWidth="1"/>
    <col min="2" max="2" width="19.2037037037037" style="8" customWidth="1"/>
    <col min="3" max="3" width="27.3148148148148" style="8" customWidth="1"/>
    <col min="4" max="4" width="33.3333333333333" style="8" customWidth="1"/>
    <col min="5" max="5" width="12.8055555555556" style="8" customWidth="1"/>
    <col min="6" max="6" width="9.7962962962963" style="8" customWidth="1"/>
    <col min="7" max="8" width="11.1018518518519" style="8" customWidth="1"/>
    <col min="9" max="9" width="14.2407407407407" style="8" customWidth="1"/>
    <col min="10" max="12" width="11.1018518518519" style="8" customWidth="1"/>
    <col min="13" max="32" width="9.7962962962963" style="8" customWidth="1"/>
    <col min="33" max="16384" width="52.5462962962963" style="8" customWidth="1"/>
  </cols>
  <sheetData>
    <row r="1" s="9" customFormat="1" customHeight="1" spans="1:16384">
      <c r="A1" s="9" t="s">
        <v>617</v>
      </c>
      <c r="D1" s="1"/>
      <c r="E1" s="1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2" customHeight="1" spans="1:13">
      <c r="A2" s="11" t="s">
        <v>618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3" customFormat="1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customHeight="1" spans="1:13">
      <c r="A6" s="19">
        <f>A10+A12</f>
        <v>4</v>
      </c>
      <c r="B6" s="19" t="s">
        <v>571</v>
      </c>
      <c r="C6" s="19"/>
      <c r="D6" s="19"/>
      <c r="E6" s="19">
        <f>E7+E11</f>
        <v>241.370566</v>
      </c>
      <c r="F6" s="20">
        <f t="shared" ref="F6:F12" si="0">G6+I6+K6</f>
        <v>38.515379</v>
      </c>
      <c r="G6" s="20">
        <f>G7+G11</f>
        <v>7.924746</v>
      </c>
      <c r="H6" s="20"/>
      <c r="I6" s="20">
        <f>I7+I11</f>
        <v>25</v>
      </c>
      <c r="J6" s="20"/>
      <c r="K6" s="20">
        <f>K7+K11</f>
        <v>5.590633</v>
      </c>
      <c r="L6" s="26"/>
      <c r="M6" s="26"/>
    </row>
    <row r="7" s="5" customFormat="1" ht="36" customHeight="1" spans="1:13">
      <c r="A7" s="19" t="s">
        <v>124</v>
      </c>
      <c r="B7" s="19"/>
      <c r="C7" s="19"/>
      <c r="D7" s="19" t="s">
        <v>80</v>
      </c>
      <c r="E7" s="19">
        <f>E8+E9+E10</f>
        <v>235.779933</v>
      </c>
      <c r="F7" s="19">
        <f t="shared" si="0"/>
        <v>32.924746</v>
      </c>
      <c r="G7" s="19">
        <f t="shared" ref="F7:K7" si="1">G8+G9+G10</f>
        <v>7.924746</v>
      </c>
      <c r="H7" s="19" t="s">
        <v>16</v>
      </c>
      <c r="I7" s="19">
        <f t="shared" si="1"/>
        <v>25</v>
      </c>
      <c r="J7" s="19"/>
      <c r="K7" s="19">
        <f t="shared" si="1"/>
        <v>0</v>
      </c>
      <c r="L7" s="29"/>
      <c r="M7" s="29"/>
    </row>
    <row r="8" s="5" customFormat="1" ht="46" customHeight="1" spans="1:13">
      <c r="A8" s="26">
        <v>1</v>
      </c>
      <c r="B8" s="26" t="s">
        <v>528</v>
      </c>
      <c r="C8" s="26" t="s">
        <v>619</v>
      </c>
      <c r="D8" s="26" t="s">
        <v>620</v>
      </c>
      <c r="E8" s="26">
        <v>123.899933</v>
      </c>
      <c r="F8" s="25">
        <f t="shared" si="0"/>
        <v>30.182903</v>
      </c>
      <c r="G8" s="21">
        <f>7.924778-0.000032</f>
        <v>7.924746</v>
      </c>
      <c r="H8" s="25" t="s">
        <v>37</v>
      </c>
      <c r="I8" s="21">
        <v>22.258157</v>
      </c>
      <c r="J8" s="26" t="s">
        <v>89</v>
      </c>
      <c r="K8" s="29">
        <v>0</v>
      </c>
      <c r="L8" s="19" t="s">
        <v>16</v>
      </c>
      <c r="M8" s="29"/>
    </row>
    <row r="9" s="5" customFormat="1" ht="73" customHeight="1" spans="1:13">
      <c r="A9" s="26">
        <v>2</v>
      </c>
      <c r="B9" s="22" t="s">
        <v>380</v>
      </c>
      <c r="C9" s="26" t="s">
        <v>621</v>
      </c>
      <c r="D9" s="26" t="s">
        <v>622</v>
      </c>
      <c r="E9" s="26">
        <v>78.49</v>
      </c>
      <c r="F9" s="25">
        <f t="shared" si="0"/>
        <v>1.7554</v>
      </c>
      <c r="G9" s="29">
        <v>0</v>
      </c>
      <c r="H9" s="19" t="s">
        <v>16</v>
      </c>
      <c r="I9" s="21">
        <v>1.7554</v>
      </c>
      <c r="J9" s="26" t="s">
        <v>89</v>
      </c>
      <c r="K9" s="29">
        <v>0</v>
      </c>
      <c r="L9" s="19" t="s">
        <v>16</v>
      </c>
      <c r="M9" s="29"/>
    </row>
    <row r="10" s="5" customFormat="1" ht="46" customHeight="1" spans="1:13">
      <c r="A10" s="26">
        <v>3</v>
      </c>
      <c r="B10" s="26" t="s">
        <v>244</v>
      </c>
      <c r="C10" s="26" t="s">
        <v>623</v>
      </c>
      <c r="D10" s="26" t="s">
        <v>624</v>
      </c>
      <c r="E10" s="26">
        <v>33.39</v>
      </c>
      <c r="F10" s="25">
        <f t="shared" si="0"/>
        <v>0.986443</v>
      </c>
      <c r="G10" s="29">
        <v>0</v>
      </c>
      <c r="H10" s="19" t="s">
        <v>16</v>
      </c>
      <c r="I10" s="21">
        <v>0.986443</v>
      </c>
      <c r="J10" s="26" t="s">
        <v>89</v>
      </c>
      <c r="K10" s="29">
        <v>0</v>
      </c>
      <c r="L10" s="19" t="s">
        <v>16</v>
      </c>
      <c r="M10" s="29"/>
    </row>
    <row r="11" s="7" customFormat="1" ht="38" customHeight="1" spans="1:13">
      <c r="A11" s="20" t="s">
        <v>54</v>
      </c>
      <c r="B11" s="20"/>
      <c r="C11" s="20"/>
      <c r="D11" s="20" t="s">
        <v>80</v>
      </c>
      <c r="E11" s="20">
        <f>E12</f>
        <v>5.590633</v>
      </c>
      <c r="F11" s="20">
        <f t="shared" si="0"/>
        <v>5.590633</v>
      </c>
      <c r="G11" s="20">
        <f>G12</f>
        <v>0</v>
      </c>
      <c r="H11" s="20"/>
      <c r="I11" s="20">
        <f>I12</f>
        <v>0</v>
      </c>
      <c r="J11" s="20"/>
      <c r="K11" s="20">
        <f>K12</f>
        <v>5.590633</v>
      </c>
      <c r="L11" s="20"/>
      <c r="M11" s="20"/>
    </row>
    <row r="12" s="4" customFormat="1" ht="47" customHeight="1" spans="1:13">
      <c r="A12" s="26">
        <v>1</v>
      </c>
      <c r="B12" s="27" t="s">
        <v>581</v>
      </c>
      <c r="C12" s="28" t="s">
        <v>54</v>
      </c>
      <c r="D12" s="26" t="s">
        <v>16</v>
      </c>
      <c r="E12" s="26">
        <v>5.590633</v>
      </c>
      <c r="F12" s="26">
        <f t="shared" si="0"/>
        <v>5.590633</v>
      </c>
      <c r="G12" s="26">
        <v>0</v>
      </c>
      <c r="H12" s="19" t="s">
        <v>16</v>
      </c>
      <c r="I12" s="26">
        <v>0</v>
      </c>
      <c r="J12" s="19" t="s">
        <v>16</v>
      </c>
      <c r="K12" s="26">
        <f>20-14.409367</f>
        <v>5.590633</v>
      </c>
      <c r="L12" s="26" t="s">
        <v>113</v>
      </c>
      <c r="M12" s="26"/>
    </row>
  </sheetData>
  <autoFilter ref="A1:E12">
    <extLst/>
  </autoFilter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93055555555556" right="0.196527777777778" top="0.432638888888889" bottom="0.393055555555556" header="0.5" footer="0.5"/>
  <pageSetup paperSize="9" scale="7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90" zoomScaleNormal="90" workbookViewId="0">
      <pane ySplit="6" topLeftCell="A7" activePane="bottomLeft" state="frozen"/>
      <selection/>
      <selection pane="bottomLeft" activeCell="J15" sqref="J15"/>
    </sheetView>
  </sheetViews>
  <sheetFormatPr defaultColWidth="9" defaultRowHeight="30" customHeight="1"/>
  <cols>
    <col min="1" max="1" width="9" style="8"/>
    <col min="2" max="2" width="15.8888888888889" style="8" customWidth="1"/>
    <col min="3" max="3" width="30.3333333333333" style="8" customWidth="1"/>
    <col min="4" max="4" width="21.1111111111111" style="8" customWidth="1"/>
    <col min="5" max="5" width="15.8888888888889" style="8" customWidth="1"/>
    <col min="6" max="6" width="14.3333333333333" style="8"/>
    <col min="7" max="9" width="10.1111111111111" style="8" customWidth="1"/>
    <col min="10" max="10" width="15.6759259259259" style="8" customWidth="1"/>
    <col min="11" max="12" width="10.1111111111111" style="8" customWidth="1"/>
    <col min="13" max="13" width="14.0277777777778" style="8" customWidth="1"/>
    <col min="14" max="32" width="9" style="8"/>
    <col min="33" max="16384" width="23.8888888888889" style="8"/>
  </cols>
  <sheetData>
    <row r="1" s="1" customFormat="1" ht="27" customHeight="1" spans="1:6">
      <c r="A1" s="9" t="s">
        <v>625</v>
      </c>
      <c r="B1" s="9"/>
      <c r="C1" s="9"/>
      <c r="F1" s="10"/>
    </row>
    <row r="2" s="2" customFormat="1" ht="39" customHeight="1" spans="1:13">
      <c r="A2" s="11" t="s">
        <v>626</v>
      </c>
      <c r="B2" s="11"/>
      <c r="C2" s="11"/>
      <c r="D2" s="11"/>
      <c r="E2" s="12"/>
      <c r="F2" s="13"/>
      <c r="G2" s="12"/>
      <c r="H2" s="12"/>
      <c r="I2" s="12"/>
      <c r="J2" s="12"/>
      <c r="K2" s="12"/>
      <c r="L2" s="12"/>
      <c r="M2" s="12"/>
    </row>
    <row r="3" s="1" customFormat="1" ht="33" customHeight="1" spans="1:13">
      <c r="A3" s="14" t="s">
        <v>75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3" customFormat="1" ht="33" customHeight="1" spans="1:13">
      <c r="A4" s="15" t="s">
        <v>1</v>
      </c>
      <c r="B4" s="15" t="s">
        <v>76</v>
      </c>
      <c r="C4" s="15" t="s">
        <v>77</v>
      </c>
      <c r="D4" s="15" t="s">
        <v>7</v>
      </c>
      <c r="E4" s="16" t="s">
        <v>78</v>
      </c>
      <c r="F4" s="17" t="s">
        <v>79</v>
      </c>
      <c r="G4" s="17"/>
      <c r="H4" s="17"/>
      <c r="I4" s="17"/>
      <c r="J4" s="17"/>
      <c r="K4" s="17"/>
      <c r="L4" s="17"/>
      <c r="M4" s="15" t="s">
        <v>6</v>
      </c>
    </row>
    <row r="5" s="3" customFormat="1" ht="33" customHeight="1" spans="1:13">
      <c r="A5" s="15"/>
      <c r="B5" s="15"/>
      <c r="C5" s="15"/>
      <c r="D5" s="15"/>
      <c r="E5" s="16"/>
      <c r="F5" s="17" t="s">
        <v>80</v>
      </c>
      <c r="G5" s="18" t="s">
        <v>11</v>
      </c>
      <c r="H5" s="16" t="s">
        <v>12</v>
      </c>
      <c r="I5" s="16" t="s">
        <v>13</v>
      </c>
      <c r="J5" s="16" t="s">
        <v>12</v>
      </c>
      <c r="K5" s="16" t="s">
        <v>14</v>
      </c>
      <c r="L5" s="16" t="s">
        <v>12</v>
      </c>
      <c r="M5" s="15"/>
    </row>
    <row r="6" s="4" customFormat="1" ht="36" customHeight="1" spans="1:13">
      <c r="A6" s="19">
        <f>A9+A11</f>
        <v>3</v>
      </c>
      <c r="B6" s="19" t="s">
        <v>571</v>
      </c>
      <c r="C6" s="19"/>
      <c r="D6" s="19"/>
      <c r="E6" s="19">
        <f>E7+E10</f>
        <v>441.37</v>
      </c>
      <c r="F6" s="20">
        <f t="shared" ref="F6:F11" si="0">G6+I6+K6</f>
        <v>163.726187</v>
      </c>
      <c r="G6" s="20">
        <f>G7+G10</f>
        <v>0</v>
      </c>
      <c r="H6" s="20"/>
      <c r="I6" s="20">
        <f>I7+I10</f>
        <v>163.356187</v>
      </c>
      <c r="J6" s="20"/>
      <c r="K6" s="20">
        <f>K7+K10</f>
        <v>0.37</v>
      </c>
      <c r="L6" s="26"/>
      <c r="M6" s="26"/>
    </row>
    <row r="7" s="5" customFormat="1" ht="36" customHeight="1" spans="1:13">
      <c r="A7" s="19" t="s">
        <v>124</v>
      </c>
      <c r="B7" s="19"/>
      <c r="C7" s="19"/>
      <c r="D7" s="19" t="s">
        <v>80</v>
      </c>
      <c r="E7" s="19">
        <f>E8+E9</f>
        <v>441</v>
      </c>
      <c r="F7" s="19">
        <f t="shared" si="0"/>
        <v>163.356187</v>
      </c>
      <c r="G7" s="19">
        <f t="shared" ref="F7:K7" si="1">G8+G9</f>
        <v>0</v>
      </c>
      <c r="H7" s="19"/>
      <c r="I7" s="19">
        <f t="shared" si="1"/>
        <v>163.356187</v>
      </c>
      <c r="J7" s="19"/>
      <c r="K7" s="19">
        <f t="shared" si="1"/>
        <v>0</v>
      </c>
      <c r="L7" s="29"/>
      <c r="M7" s="29"/>
    </row>
    <row r="8" s="6" customFormat="1" ht="61" customHeight="1" spans="1:13">
      <c r="A8" s="21">
        <v>1</v>
      </c>
      <c r="B8" s="21" t="s">
        <v>627</v>
      </c>
      <c r="C8" s="22" t="s">
        <v>628</v>
      </c>
      <c r="D8" s="23" t="s">
        <v>629</v>
      </c>
      <c r="E8" s="24">
        <v>311</v>
      </c>
      <c r="F8" s="25">
        <f t="shared" si="0"/>
        <v>159.701499</v>
      </c>
      <c r="G8" s="21">
        <v>0</v>
      </c>
      <c r="H8" s="21" t="s">
        <v>16</v>
      </c>
      <c r="I8" s="30">
        <v>159.701499</v>
      </c>
      <c r="J8" s="22" t="s">
        <v>630</v>
      </c>
      <c r="K8" s="21">
        <v>0</v>
      </c>
      <c r="L8" s="21" t="s">
        <v>16</v>
      </c>
      <c r="M8" s="21"/>
    </row>
    <row r="9" s="6" customFormat="1" ht="51" customHeight="1" spans="1:13">
      <c r="A9" s="21">
        <v>2</v>
      </c>
      <c r="B9" s="26" t="s">
        <v>631</v>
      </c>
      <c r="C9" s="26" t="s">
        <v>632</v>
      </c>
      <c r="D9" s="26" t="s">
        <v>633</v>
      </c>
      <c r="E9" s="26">
        <v>130</v>
      </c>
      <c r="F9" s="25">
        <f t="shared" si="0"/>
        <v>3.654688</v>
      </c>
      <c r="G9" s="21">
        <v>0</v>
      </c>
      <c r="H9" s="21" t="s">
        <v>16</v>
      </c>
      <c r="I9" s="21">
        <v>3.654688</v>
      </c>
      <c r="J9" s="26" t="s">
        <v>89</v>
      </c>
      <c r="K9" s="21">
        <v>0</v>
      </c>
      <c r="L9" s="21" t="s">
        <v>16</v>
      </c>
      <c r="M9" s="22" t="s">
        <v>634</v>
      </c>
    </row>
    <row r="10" s="7" customFormat="1" ht="40" customHeight="1" spans="1:13">
      <c r="A10" s="20" t="s">
        <v>54</v>
      </c>
      <c r="B10" s="20"/>
      <c r="C10" s="20"/>
      <c r="D10" s="20" t="s">
        <v>80</v>
      </c>
      <c r="E10" s="20">
        <f t="shared" ref="E10:I10" si="2">E11</f>
        <v>0.37</v>
      </c>
      <c r="F10" s="20">
        <f t="shared" si="0"/>
        <v>0.37</v>
      </c>
      <c r="G10" s="20">
        <f t="shared" si="2"/>
        <v>0</v>
      </c>
      <c r="H10" s="20"/>
      <c r="I10" s="20">
        <f t="shared" si="2"/>
        <v>0</v>
      </c>
      <c r="J10" s="20"/>
      <c r="K10" s="20">
        <f>K11</f>
        <v>0.37</v>
      </c>
      <c r="L10" s="20"/>
      <c r="M10" s="20"/>
    </row>
    <row r="11" s="4" customFormat="1" ht="47" customHeight="1" spans="1:13">
      <c r="A11" s="26">
        <v>1</v>
      </c>
      <c r="B11" s="27" t="s">
        <v>581</v>
      </c>
      <c r="C11" s="28" t="s">
        <v>54</v>
      </c>
      <c r="D11" s="26" t="s">
        <v>16</v>
      </c>
      <c r="E11" s="26">
        <v>0.37</v>
      </c>
      <c r="F11" s="26">
        <f t="shared" si="0"/>
        <v>0.37</v>
      </c>
      <c r="G11" s="26">
        <v>0</v>
      </c>
      <c r="H11" s="19" t="s">
        <v>16</v>
      </c>
      <c r="I11" s="26">
        <v>0</v>
      </c>
      <c r="J11" s="19" t="s">
        <v>16</v>
      </c>
      <c r="K11" s="26">
        <v>0.37</v>
      </c>
      <c r="L11" s="26" t="s">
        <v>113</v>
      </c>
      <c r="M11" s="26"/>
    </row>
  </sheetData>
  <mergeCells count="13">
    <mergeCell ref="A1:C1"/>
    <mergeCell ref="A2:M2"/>
    <mergeCell ref="A3:M3"/>
    <mergeCell ref="F4:L4"/>
    <mergeCell ref="B6:C6"/>
    <mergeCell ref="A7:C7"/>
    <mergeCell ref="A10:C10"/>
    <mergeCell ref="A4:A5"/>
    <mergeCell ref="B4:B5"/>
    <mergeCell ref="C4:C5"/>
    <mergeCell ref="D4:D5"/>
    <mergeCell ref="E4:E5"/>
    <mergeCell ref="M4:M5"/>
  </mergeCells>
  <pageMargins left="0.393055555555556" right="0.196527777777778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</vt:lpstr>
      <vt:lpstr>附件2新兴</vt:lpstr>
      <vt:lpstr>附件3屯城</vt:lpstr>
      <vt:lpstr>附件4西昌</vt:lpstr>
      <vt:lpstr>附件5坡心</vt:lpstr>
      <vt:lpstr>附件6南坤</vt:lpstr>
      <vt:lpstr>附件7南吕</vt:lpstr>
      <vt:lpstr>附件8枫木</vt:lpstr>
      <vt:lpstr>附件9乌坡</vt:lpstr>
      <vt:lpstr>附件10县政府投资项目管理中心</vt:lpstr>
      <vt:lpstr>附件11民族</vt:lpstr>
      <vt:lpstr>附件12水务</vt:lpstr>
      <vt:lpstr>附件13.农业农村局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1</cp:lastModifiedBy>
  <cp:revision>1</cp:revision>
  <dcterms:created xsi:type="dcterms:W3CDTF">2006-09-13T11:21:00Z</dcterms:created>
  <cp:lastPrinted>2021-04-21T02:42:00Z</cp:lastPrinted>
  <dcterms:modified xsi:type="dcterms:W3CDTF">2024-12-27T07:51:09Z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